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05" yWindow="8085" windowWidth="9420" windowHeight="4500" activeTab="2"/>
  </bookViews>
  <sheets>
    <sheet name="Budget" sheetId="119" r:id="rId1"/>
    <sheet name="Bal Sheet" sheetId="117" r:id="rId2"/>
    <sheet name="IS" sheetId="109" r:id="rId3"/>
    <sheet name="Cash Roll" sheetId="61" r:id="rId4"/>
    <sheet name="bank rec Oct" sheetId="111" r:id="rId5"/>
    <sheet name="Deposits" sheetId="93" r:id="rId6"/>
    <sheet name="Disbursements" sheetId="94" r:id="rId7"/>
    <sheet name="Tree Sale" sheetId="70" r:id="rId8"/>
    <sheet name="Use Tax" sheetId="71" r:id="rId9"/>
    <sheet name="Vouchers" sheetId="92" r:id="rId10"/>
    <sheet name="Sch Fund" sheetId="104" r:id="rId11"/>
    <sheet name="Bonds accd int" sheetId="105" r:id="rId12"/>
    <sheet name="Bonds-cost" sheetId="102" r:id="rId13"/>
    <sheet name="Sheet1" sheetId="120" r:id="rId14"/>
  </sheets>
  <externalReferences>
    <externalReference r:id="rId15"/>
  </externalReferences>
  <definedNames>
    <definedName name="_xlnm._FilterDatabase" localSheetId="9" hidden="1">Vouchers!$A$1:$I$49</definedName>
    <definedName name="_xlnm.Print_Area" localSheetId="1">'Bal Sheet'!$A$1:$D$63</definedName>
    <definedName name="_xlnm.Print_Area" localSheetId="2">IS!#REF!</definedName>
  </definedNames>
  <calcPr calcId="125725"/>
</workbook>
</file>

<file path=xl/calcChain.xml><?xml version="1.0" encoding="utf-8"?>
<calcChain xmlns="http://schemas.openxmlformats.org/spreadsheetml/2006/main">
  <c r="C103" i="109"/>
  <c r="C75"/>
  <c r="B103"/>
  <c r="C14" i="70"/>
  <c r="E5" i="111"/>
  <c r="H12" l="1"/>
  <c r="B91" i="109"/>
  <c r="B30" i="119"/>
  <c r="B14"/>
  <c r="B13"/>
  <c r="C12" i="70"/>
  <c r="C26"/>
  <c r="D38" i="109"/>
  <c r="D37"/>
  <c r="Q89" i="93"/>
  <c r="D34" i="117" s="1"/>
  <c r="C23" i="70"/>
  <c r="P89" i="93"/>
  <c r="D33" i="117" s="1"/>
  <c r="B89" i="109"/>
  <c r="D26" i="111" l="1"/>
  <c r="E35" s="1"/>
  <c r="E36"/>
  <c r="E37" l="1"/>
  <c r="E39" s="1"/>
  <c r="C28" i="70" l="1"/>
  <c r="C25"/>
  <c r="O89" i="93"/>
  <c r="D32" i="117" s="1"/>
  <c r="N89" i="93"/>
  <c r="D31" i="117" s="1"/>
  <c r="B95" i="109"/>
  <c r="B75"/>
  <c r="D13"/>
  <c r="H59" i="119"/>
  <c r="F59"/>
  <c r="D35" i="117"/>
  <c r="D30"/>
  <c r="I59" i="119"/>
  <c r="I62"/>
  <c r="I61"/>
  <c r="I60"/>
  <c r="D34" i="109"/>
  <c r="E34" s="1"/>
  <c r="AC128" i="94"/>
  <c r="M89" i="93"/>
  <c r="D19" i="109" s="1"/>
  <c r="E52"/>
  <c r="E51"/>
  <c r="E47"/>
  <c r="E41"/>
  <c r="E38"/>
  <c r="E36"/>
  <c r="E33"/>
  <c r="E32"/>
  <c r="E31"/>
  <c r="E26"/>
  <c r="E25"/>
  <c r="D37" i="117"/>
  <c r="F89" i="93" l="1"/>
  <c r="D17" i="109" s="1"/>
  <c r="H29" i="61"/>
  <c r="B72" i="104"/>
  <c r="C66" i="109"/>
  <c r="C64"/>
  <c r="B33" i="119"/>
  <c r="B74"/>
  <c r="B73"/>
  <c r="B57"/>
  <c r="B47"/>
  <c r="B43"/>
  <c r="F42"/>
  <c r="F47" s="1"/>
  <c r="F61" s="1"/>
  <c r="H61" s="1"/>
  <c r="B42"/>
  <c r="F41"/>
  <c r="B39"/>
  <c r="B37"/>
  <c r="F33"/>
  <c r="B31"/>
  <c r="G60" s="1"/>
  <c r="F25"/>
  <c r="B23"/>
  <c r="F16"/>
  <c r="B40" s="1"/>
  <c r="F15"/>
  <c r="B12"/>
  <c r="F9"/>
  <c r="F7"/>
  <c r="B13" i="61" l="1"/>
  <c r="D11" i="109"/>
  <c r="B58" i="119"/>
  <c r="F46"/>
  <c r="F60" s="1"/>
  <c r="H60" s="1"/>
  <c r="F45"/>
  <c r="F48"/>
  <c r="F62" s="1"/>
  <c r="H62" s="1"/>
  <c r="G59"/>
  <c r="G63" l="1"/>
  <c r="H63"/>
  <c r="F49"/>
  <c r="F63" s="1"/>
  <c r="AB128" i="94" l="1"/>
  <c r="D50" i="109" s="1"/>
  <c r="E50" s="1"/>
  <c r="F128" i="94"/>
  <c r="D49" i="109" s="1"/>
  <c r="E49" s="1"/>
  <c r="C40"/>
  <c r="C58" l="1"/>
  <c r="C65"/>
  <c r="C67" s="1"/>
  <c r="T128" i="94"/>
  <c r="D45" i="109" s="1"/>
  <c r="E45" s="1"/>
  <c r="R89" i="93"/>
  <c r="K10" i="71"/>
  <c r="D72" i="104"/>
  <c r="B14" i="61" s="1"/>
  <c r="Q11" i="105"/>
  <c r="Q10"/>
  <c r="Q9"/>
  <c r="Q8"/>
  <c r="Q13" s="1"/>
  <c r="Q7"/>
  <c r="B67" i="104"/>
  <c r="B73" l="1"/>
  <c r="C128" i="94" l="1"/>
  <c r="B89" i="93"/>
  <c r="D8" i="61" l="1"/>
  <c r="D53" i="117" l="1"/>
  <c r="P11" i="105"/>
  <c r="P10"/>
  <c r="P9"/>
  <c r="P8"/>
  <c r="P7"/>
  <c r="I128" i="94"/>
  <c r="E128"/>
  <c r="D44" i="109" s="1"/>
  <c r="E89" i="93"/>
  <c r="E44" i="109" l="1"/>
  <c r="D20"/>
  <c r="E92" i="93"/>
  <c r="E96" s="1"/>
  <c r="P13" i="105"/>
  <c r="B66" i="92"/>
  <c r="B71" i="70" l="1"/>
  <c r="B73" s="1"/>
  <c r="B74" s="1"/>
  <c r="J5" i="71"/>
  <c r="J9" s="1"/>
  <c r="J11" s="1"/>
  <c r="D20" i="70" s="1"/>
  <c r="Z128" i="94"/>
  <c r="D54" i="109" s="1"/>
  <c r="E54" s="1"/>
  <c r="J89" i="93"/>
  <c r="I89"/>
  <c r="D18" i="109" s="1"/>
  <c r="B62" i="92"/>
  <c r="B6" i="61"/>
  <c r="D89" i="93"/>
  <c r="D16" i="109" s="1"/>
  <c r="AD128" i="94"/>
  <c r="D42" i="109" s="1"/>
  <c r="E42" s="1"/>
  <c r="H8" i="71"/>
  <c r="X128" i="94"/>
  <c r="D46" i="109" s="1"/>
  <c r="E46" s="1"/>
  <c r="K89" i="93"/>
  <c r="L89"/>
  <c r="D12" i="109" s="1"/>
  <c r="G89" i="93"/>
  <c r="C5" i="70" s="1"/>
  <c r="R128" i="94"/>
  <c r="D53" i="109" s="1"/>
  <c r="E53" s="1"/>
  <c r="S89" i="93"/>
  <c r="B15" i="61" s="1"/>
  <c r="U128" i="94"/>
  <c r="D56" i="109" s="1"/>
  <c r="E56" s="1"/>
  <c r="N128" i="94"/>
  <c r="D30" i="109" s="1"/>
  <c r="E30" s="1"/>
  <c r="C89" i="93"/>
  <c r="K128" i="94"/>
  <c r="D39" i="109" s="1"/>
  <c r="E39" s="1"/>
  <c r="O6" i="105"/>
  <c r="L128" i="94"/>
  <c r="S128"/>
  <c r="V24" i="70"/>
  <c r="T24"/>
  <c r="R24"/>
  <c r="P24"/>
  <c r="H7" i="71"/>
  <c r="C23" i="105"/>
  <c r="S11"/>
  <c r="L11"/>
  <c r="N11" s="1"/>
  <c r="O11"/>
  <c r="G11"/>
  <c r="E11"/>
  <c r="H11"/>
  <c r="S10"/>
  <c r="L10"/>
  <c r="M10" s="1"/>
  <c r="G10"/>
  <c r="E10"/>
  <c r="H10"/>
  <c r="S9"/>
  <c r="L9"/>
  <c r="O9"/>
  <c r="G9"/>
  <c r="E9"/>
  <c r="H9"/>
  <c r="S8"/>
  <c r="L8"/>
  <c r="O8" s="1"/>
  <c r="G8"/>
  <c r="D8"/>
  <c r="D23" s="1"/>
  <c r="E8"/>
  <c r="H8" s="1"/>
  <c r="S7"/>
  <c r="L7"/>
  <c r="M7" s="1"/>
  <c r="G7"/>
  <c r="E7"/>
  <c r="H7"/>
  <c r="S6"/>
  <c r="S13"/>
  <c r="S15" s="1"/>
  <c r="L6"/>
  <c r="N6" s="1"/>
  <c r="M6"/>
  <c r="G6"/>
  <c r="D6"/>
  <c r="B25" i="104"/>
  <c r="B7" i="61"/>
  <c r="C15" i="102"/>
  <c r="B19"/>
  <c r="D6"/>
  <c r="E15"/>
  <c r="D9"/>
  <c r="D8"/>
  <c r="D15" s="1"/>
  <c r="B20" s="1"/>
  <c r="AA128" i="94"/>
  <c r="D55" i="109" s="1"/>
  <c r="E55" s="1"/>
  <c r="J16" i="70"/>
  <c r="J32" s="1"/>
  <c r="J35" s="1"/>
  <c r="J39" s="1"/>
  <c r="J47"/>
  <c r="J43"/>
  <c r="J45" s="1"/>
  <c r="G8" i="71"/>
  <c r="G128" i="94"/>
  <c r="D40" i="109" s="1"/>
  <c r="E40" s="1"/>
  <c r="M128" i="94"/>
  <c r="D29" i="109" s="1"/>
  <c r="E29" s="1"/>
  <c r="H128" i="94"/>
  <c r="D27" i="109" s="1"/>
  <c r="E27" s="1"/>
  <c r="W128" i="94"/>
  <c r="D48" i="109" s="1"/>
  <c r="E48" s="1"/>
  <c r="Q128" i="94"/>
  <c r="D43" i="109" s="1"/>
  <c r="E43" s="1"/>
  <c r="O128" i="94"/>
  <c r="D57" i="109" s="1"/>
  <c r="E57" s="1"/>
  <c r="V128" i="94"/>
  <c r="D28" i="109" s="1"/>
  <c r="E28" s="1"/>
  <c r="P128" i="94"/>
  <c r="E37" i="109" s="1"/>
  <c r="F5" i="71"/>
  <c r="F6"/>
  <c r="F8"/>
  <c r="F10"/>
  <c r="G10" s="1"/>
  <c r="H10" s="1"/>
  <c r="I10" s="1"/>
  <c r="J10" s="1"/>
  <c r="E9"/>
  <c r="E11"/>
  <c r="N20" i="70" s="1"/>
  <c r="N32" s="1"/>
  <c r="N35" s="1"/>
  <c r="E14" i="71"/>
  <c r="E18"/>
  <c r="N21" i="70"/>
  <c r="N45"/>
  <c r="N37" s="1"/>
  <c r="P45"/>
  <c r="P12"/>
  <c r="D5" i="71" s="1"/>
  <c r="D9" s="1"/>
  <c r="D11" s="1"/>
  <c r="R43" i="70"/>
  <c r="R45" s="1"/>
  <c r="R32"/>
  <c r="R35" s="1"/>
  <c r="R8"/>
  <c r="C9" i="71"/>
  <c r="C11"/>
  <c r="B5"/>
  <c r="B6"/>
  <c r="V5" i="70"/>
  <c r="V12"/>
  <c r="V20" s="1"/>
  <c r="V32" s="1"/>
  <c r="V16"/>
  <c r="V23"/>
  <c r="V26"/>
  <c r="T5"/>
  <c r="T6" s="1"/>
  <c r="T26"/>
  <c r="T32" s="1"/>
  <c r="G5" i="71"/>
  <c r="B7" i="104"/>
  <c r="B18"/>
  <c r="B31"/>
  <c r="B12"/>
  <c r="B16"/>
  <c r="E6" i="105"/>
  <c r="E23" s="1"/>
  <c r="H6"/>
  <c r="N7"/>
  <c r="O7"/>
  <c r="N8"/>
  <c r="M9"/>
  <c r="M11"/>
  <c r="N9"/>
  <c r="J128" i="94"/>
  <c r="B21" i="102"/>
  <c r="P32" i="70"/>
  <c r="P35" s="1"/>
  <c r="I9" i="71"/>
  <c r="I11"/>
  <c r="F20" i="70"/>
  <c r="F32" s="1"/>
  <c r="F35" s="1"/>
  <c r="F39" s="1"/>
  <c r="D128" i="94"/>
  <c r="Y128"/>
  <c r="D35" i="109" s="1"/>
  <c r="H89" i="93"/>
  <c r="E35" i="109" l="1"/>
  <c r="E58" s="1"/>
  <c r="D65"/>
  <c r="E65" s="1"/>
  <c r="D64"/>
  <c r="E64" s="1"/>
  <c r="D58"/>
  <c r="D66"/>
  <c r="E66" s="1"/>
  <c r="C32" i="70"/>
  <c r="C35" s="1"/>
  <c r="C39" s="1"/>
  <c r="D25" i="117" s="1"/>
  <c r="K5" i="71"/>
  <c r="K9" s="1"/>
  <c r="K11" s="1"/>
  <c r="B8" i="61"/>
  <c r="E8" s="1"/>
  <c r="T35" i="70"/>
  <c r="N39"/>
  <c r="O13" i="105"/>
  <c r="P37" i="70"/>
  <c r="R37"/>
  <c r="R39" s="1"/>
  <c r="H23" i="105"/>
  <c r="V35" i="70"/>
  <c r="N10" i="105"/>
  <c r="N13" s="1"/>
  <c r="M8"/>
  <c r="M13" s="1"/>
  <c r="B22" i="102"/>
  <c r="O10" i="105"/>
  <c r="H9" i="71"/>
  <c r="H11" s="1"/>
  <c r="H20" i="70" s="1"/>
  <c r="H32" s="1"/>
  <c r="H35" s="1"/>
  <c r="H39" s="1"/>
  <c r="G9" i="71"/>
  <c r="G11" s="1"/>
  <c r="B9"/>
  <c r="B11" s="1"/>
  <c r="F9"/>
  <c r="F19" s="1"/>
  <c r="F21" s="1"/>
  <c r="B24" i="102"/>
  <c r="B27" s="1"/>
  <c r="B30" s="1"/>
  <c r="D32" i="70"/>
  <c r="D35" s="1"/>
  <c r="D67" i="109" l="1"/>
  <c r="E67" s="1"/>
  <c r="D39" i="70"/>
  <c r="D24" i="117" s="1"/>
  <c r="D9"/>
  <c r="F9" s="1"/>
  <c r="B27" i="104"/>
  <c r="B56"/>
  <c r="B16" i="61" s="1"/>
  <c r="E16" s="1"/>
  <c r="B28" i="104"/>
  <c r="B42"/>
  <c r="B43" s="1"/>
  <c r="F11" i="71"/>
  <c r="L20" i="70" s="1"/>
  <c r="L32" s="1"/>
  <c r="L35" s="1"/>
  <c r="L39" s="1"/>
  <c r="B25" i="102"/>
  <c r="B28" s="1"/>
  <c r="D52" i="117" s="1"/>
  <c r="B10" i="119" l="1"/>
  <c r="C8" i="109"/>
  <c r="D38" i="117"/>
  <c r="D40" s="1"/>
  <c r="D6"/>
  <c r="F6" s="1"/>
  <c r="B57" i="104"/>
  <c r="B29"/>
  <c r="B34" s="1"/>
  <c r="B45" s="1"/>
  <c r="B31" i="102"/>
  <c r="B50" i="119" l="1"/>
  <c r="B15"/>
  <c r="D8" i="109"/>
  <c r="D21" s="1"/>
  <c r="D59" s="1"/>
  <c r="C21"/>
  <c r="C59" s="1"/>
  <c r="D58" i="117"/>
  <c r="D64" i="104"/>
  <c r="B59"/>
  <c r="B51" i="119" l="1"/>
  <c r="B52" s="1"/>
  <c r="B59"/>
  <c r="B75" i="104"/>
  <c r="D7" i="117" s="1"/>
  <c r="D51"/>
  <c r="D55" s="1"/>
  <c r="D60" s="1"/>
  <c r="D62" s="1"/>
  <c r="B60" i="119" l="1"/>
  <c r="D11" i="117"/>
  <c r="D15" s="1"/>
  <c r="E40" s="1"/>
  <c r="C58" i="119" l="1"/>
  <c r="C57"/>
  <c r="C59"/>
</calcChain>
</file>

<file path=xl/comments1.xml><?xml version="1.0" encoding="utf-8"?>
<comments xmlns="http://schemas.openxmlformats.org/spreadsheetml/2006/main">
  <authors>
    <author>nirving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nirving:</t>
        </r>
        <r>
          <rPr>
            <sz val="9"/>
            <color indexed="81"/>
            <rFont val="Tahoma"/>
            <family val="2"/>
          </rPr>
          <t xml:space="preserve">
$1000 credit from tree grower for overpayment.  See deposit for 12/28.
</t>
        </r>
      </text>
    </comment>
  </commentList>
</comments>
</file>

<file path=xl/sharedStrings.xml><?xml version="1.0" encoding="utf-8"?>
<sst xmlns="http://schemas.openxmlformats.org/spreadsheetml/2006/main" count="771" uniqueCount="464">
  <si>
    <t>SP/CE Rotary</t>
  </si>
  <si>
    <t>Budget</t>
  </si>
  <si>
    <t>Interest</t>
  </si>
  <si>
    <t>Christmas Tree Sales</t>
  </si>
  <si>
    <t>Total Receipts</t>
  </si>
  <si>
    <t>Disbursements:</t>
  </si>
  <si>
    <t>RYLA</t>
  </si>
  <si>
    <t>Scholarships</t>
  </si>
  <si>
    <t>Tree Lighting</t>
  </si>
  <si>
    <t>Rotary Foundation</t>
  </si>
  <si>
    <t>Misc Giving</t>
  </si>
  <si>
    <t>Rotaplast</t>
  </si>
  <si>
    <t>International Project</t>
  </si>
  <si>
    <t>Misc (Ins, Maint, …)</t>
  </si>
  <si>
    <t>Total Disbursements</t>
  </si>
  <si>
    <t>Net Receipts:</t>
  </si>
  <si>
    <t>GSE</t>
  </si>
  <si>
    <t>SP/CE Rotary Monthly Bank Reconciliation</t>
  </si>
  <si>
    <t>Outstanding Checks</t>
  </si>
  <si>
    <t>Outstanding Deposits</t>
  </si>
  <si>
    <t>Bank Balance</t>
  </si>
  <si>
    <t>O/S Checks</t>
  </si>
  <si>
    <t>O/S Deposits</t>
  </si>
  <si>
    <t>Reconciled Balance</t>
  </si>
  <si>
    <t>Trees</t>
  </si>
  <si>
    <t>Public Service Luncheon</t>
  </si>
  <si>
    <t>Cub and Sea Scouts</t>
  </si>
  <si>
    <t>Reconciliation</t>
  </si>
  <si>
    <t>Cash:</t>
  </si>
  <si>
    <t>Tree Sale</t>
  </si>
  <si>
    <t>Cash Rollforward</t>
  </si>
  <si>
    <t>Savings</t>
  </si>
  <si>
    <t>Deposits</t>
  </si>
  <si>
    <t>Checks</t>
  </si>
  <si>
    <t>Date</t>
  </si>
  <si>
    <t>Check #</t>
  </si>
  <si>
    <t>Amount</t>
  </si>
  <si>
    <t>Misc. Giving</t>
  </si>
  <si>
    <t>Rotary Club - External Account</t>
  </si>
  <si>
    <t>ASSETS</t>
  </si>
  <si>
    <t>Total Cash</t>
  </si>
  <si>
    <t>Total Assets</t>
  </si>
  <si>
    <t>Payables:</t>
  </si>
  <si>
    <t>Unrestricted Funds from Prior Years</t>
  </si>
  <si>
    <t>Rotary Scholarship Fund</t>
  </si>
  <si>
    <t>LIABILITIES &amp; NET ASSETS</t>
  </si>
  <si>
    <t>Total Liabilities &amp; Net Assets</t>
  </si>
  <si>
    <t>Net Assets:</t>
  </si>
  <si>
    <t>Total Net Assets</t>
  </si>
  <si>
    <t>Payables</t>
  </si>
  <si>
    <t>Fundraisers</t>
  </si>
  <si>
    <t>Misc.</t>
  </si>
  <si>
    <t>Receivable</t>
  </si>
  <si>
    <t>Interact</t>
  </si>
  <si>
    <t>CE/SP Community Service Project</t>
  </si>
  <si>
    <t>President's Discretionary Fund</t>
  </si>
  <si>
    <t>Transfer</t>
  </si>
  <si>
    <t>Current Balance</t>
  </si>
  <si>
    <t>External Fund Activity</t>
  </si>
  <si>
    <t>Misc</t>
  </si>
  <si>
    <t>Foundation</t>
  </si>
  <si>
    <t>Public Works</t>
  </si>
  <si>
    <t>International</t>
  </si>
  <si>
    <t>Sr Citizens</t>
  </si>
  <si>
    <t>Discretionary</t>
  </si>
  <si>
    <t>Deposits (incl transfer)</t>
  </si>
  <si>
    <t>CMP</t>
  </si>
  <si>
    <t>Less Cash used for Expenses</t>
  </si>
  <si>
    <t>Net Deposits</t>
  </si>
  <si>
    <t>Expenses:</t>
  </si>
  <si>
    <t>Wreaths</t>
  </si>
  <si>
    <t>Use Tax</t>
  </si>
  <si>
    <t xml:space="preserve">Advertising </t>
  </si>
  <si>
    <t>Net Profit</t>
  </si>
  <si>
    <t xml:space="preserve">Tree Stands </t>
  </si>
  <si>
    <t>USE TAX</t>
  </si>
  <si>
    <t xml:space="preserve">Trees </t>
  </si>
  <si>
    <t>Stands</t>
  </si>
  <si>
    <t>x5%</t>
  </si>
  <si>
    <t xml:space="preserve">Bounced Checks </t>
  </si>
  <si>
    <t>Inventory Adjustment</t>
  </si>
  <si>
    <t xml:space="preserve">Permits </t>
  </si>
  <si>
    <t>Tree stands left in inventory</t>
  </si>
  <si>
    <t>Inventory</t>
  </si>
  <si>
    <t>Adjustment = dr inventory; cr Tree Sale Restricted Funds</t>
  </si>
  <si>
    <t>Adjusted Profit</t>
  </si>
  <si>
    <t>Inventory Adjustment (see below)</t>
  </si>
  <si>
    <t xml:space="preserve">YTD Actual </t>
  </si>
  <si>
    <t>Norway Savings Bank</t>
  </si>
  <si>
    <t>Miscellaneous</t>
  </si>
  <si>
    <t>Tree Bags, etc.</t>
  </si>
  <si>
    <t>Restricted Surplus - Tree Deposit (10,000 minimum)</t>
  </si>
  <si>
    <t xml:space="preserve">Restricted Prior Years' Surplus* </t>
  </si>
  <si>
    <t>*See Article 12, Section 7 of bylaws</t>
  </si>
  <si>
    <t>Chain saw</t>
  </si>
  <si>
    <t>Donations of Wreaths &amp; Trees</t>
  </si>
  <si>
    <t>Less donated trees</t>
  </si>
  <si>
    <t>Less donated wreaths</t>
  </si>
  <si>
    <t>Food Cupboard</t>
  </si>
  <si>
    <t>Pd in January 2008</t>
  </si>
  <si>
    <t>Due with next return</t>
  </si>
  <si>
    <t>Late payment to G&amp;S</t>
  </si>
  <si>
    <t>FF Day</t>
  </si>
  <si>
    <t>McGovern</t>
  </si>
  <si>
    <t>Bagdasarian</t>
  </si>
  <si>
    <t>Butler</t>
  </si>
  <si>
    <t>Butterworth</t>
  </si>
  <si>
    <t>Carson</t>
  </si>
  <si>
    <t>Conroy</t>
  </si>
  <si>
    <t>Cotter, K.</t>
  </si>
  <si>
    <t>Danielson</t>
  </si>
  <si>
    <t>Davidson</t>
  </si>
  <si>
    <t>Daviero</t>
  </si>
  <si>
    <t>Dobson</t>
  </si>
  <si>
    <t>Dube</t>
  </si>
  <si>
    <t>Flynn</t>
  </si>
  <si>
    <t>Frustaci</t>
  </si>
  <si>
    <t>Hawes</t>
  </si>
  <si>
    <t>Hewitt</t>
  </si>
  <si>
    <t>Kennealy</t>
  </si>
  <si>
    <t>Knight</t>
  </si>
  <si>
    <t>LoBosco</t>
  </si>
  <si>
    <t>Lourie</t>
  </si>
  <si>
    <t>Meyers</t>
  </si>
  <si>
    <t>Mooers</t>
  </si>
  <si>
    <t>Mutty</t>
  </si>
  <si>
    <t>Ray</t>
  </si>
  <si>
    <t>Riemensnider</t>
  </si>
  <si>
    <t>Roberts</t>
  </si>
  <si>
    <t>Russell</t>
  </si>
  <si>
    <t>Swift-Kayatta</t>
  </si>
  <si>
    <t>Wagner</t>
  </si>
  <si>
    <t>Yerxa</t>
  </si>
  <si>
    <t>Senior Citizens Project</t>
  </si>
  <si>
    <t>Camp Susan Curtis</t>
  </si>
  <si>
    <t>PolioPlus</t>
  </si>
  <si>
    <t>Checking - Charitable Fund</t>
  </si>
  <si>
    <t>Rotary External Checking Account - Charitable Fund #160226</t>
  </si>
  <si>
    <t>Savings #8990077783</t>
  </si>
  <si>
    <t>Checking #8010160226</t>
  </si>
  <si>
    <t>Gift for bank personnel &amp; Marc's secy</t>
  </si>
  <si>
    <t>Less Scholarship $$</t>
  </si>
  <si>
    <t>Segregated from club funds</t>
  </si>
  <si>
    <t>Local Literacy Projects</t>
  </si>
  <si>
    <t>Literacy</t>
  </si>
  <si>
    <t>Bug Light</t>
  </si>
  <si>
    <t>Bug Light Donations</t>
  </si>
  <si>
    <t>Bug Light Donations (pass-through)</t>
  </si>
  <si>
    <t>Cost per Tree stand - small</t>
  </si>
  <si>
    <t>Cost per Tree stand - large</t>
  </si>
  <si>
    <t>Lighting work</t>
  </si>
  <si>
    <t>Trees &amp; wreaths</t>
  </si>
  <si>
    <t>Wreath bows</t>
  </si>
  <si>
    <t>Speh</t>
  </si>
  <si>
    <t>Tranfaglia</t>
  </si>
  <si>
    <t>PASS</t>
  </si>
  <si>
    <t>Edward Jones Investment Account</t>
  </si>
  <si>
    <t>Illinois BAB gen'l obligation 6.63% due 2/1/35</t>
  </si>
  <si>
    <t>Purchased</t>
  </si>
  <si>
    <t>Face</t>
  </si>
  <si>
    <t>Original</t>
  </si>
  <si>
    <t>Cost</t>
  </si>
  <si>
    <t>Accrued</t>
  </si>
  <si>
    <t>Hawaii BAB gen'l obligation 4.29% due 2/1/19</t>
  </si>
  <si>
    <t>Franklin Cty, Ohio BAB 6.54% due 12/1/36</t>
  </si>
  <si>
    <t>Tustin CA BAB gen'l obligation 6.9% due 2034</t>
  </si>
  <si>
    <t>Stafford Co Virginia 5.612% due 2/15/25</t>
  </si>
  <si>
    <t>Washoe Cty Nevada</t>
  </si>
  <si>
    <t>Premium</t>
  </si>
  <si>
    <t>&amp; Fees</t>
  </si>
  <si>
    <t>Maturity</t>
  </si>
  <si>
    <t>Yrs to</t>
  </si>
  <si>
    <t xml:space="preserve">Annual </t>
  </si>
  <si>
    <t>Amortization</t>
  </si>
  <si>
    <t>To Balance Sheet:</t>
  </si>
  <si>
    <t>Bonds - Face Value</t>
  </si>
  <si>
    <t>Bonds - Premiums &amp; Fees</t>
  </si>
  <si>
    <t>Total Bonds</t>
  </si>
  <si>
    <t>Redman</t>
  </si>
  <si>
    <t>Savings Account Cash allocated to Scholarship Fund:</t>
  </si>
  <si>
    <t>Allocation at 6/30/09</t>
  </si>
  <si>
    <t>Interest on CD</t>
  </si>
  <si>
    <t>Paid to SMCC</t>
  </si>
  <si>
    <t>Bonds Purchase</t>
  </si>
  <si>
    <t>2009-2010 Income from Scholarship Fund</t>
  </si>
  <si>
    <t>CD Interest</t>
  </si>
  <si>
    <t>Bond Interest Received</t>
  </si>
  <si>
    <t>Bond Interest Accrued</t>
  </si>
  <si>
    <t>Bonds - Edward Jones</t>
  </si>
  <si>
    <t>Bonds - Amortization through 6/30/10</t>
  </si>
  <si>
    <t>Accrued Interest - Bonds</t>
  </si>
  <si>
    <t>first</t>
  </si>
  <si>
    <t>interest</t>
  </si>
  <si>
    <t>months</t>
  </si>
  <si>
    <t>accrued</t>
  </si>
  <si>
    <t>Semi-annual</t>
  </si>
  <si>
    <t>payment</t>
  </si>
  <si>
    <t>Payment</t>
  </si>
  <si>
    <t>adjusted</t>
  </si>
  <si>
    <t>Washoe Cty Nevada 7.06% due 2/1/30</t>
  </si>
  <si>
    <t>pd in June, 2010</t>
  </si>
  <si>
    <t>to be paid in August, 2010</t>
  </si>
  <si>
    <t>2010-2011 Income from Scholarship Fund</t>
  </si>
  <si>
    <t>Amount Segregated after payment of Scholarship</t>
  </si>
  <si>
    <t>Polio Plus can money</t>
  </si>
  <si>
    <t>Scholarship Fund Interest</t>
  </si>
  <si>
    <t>E Jones</t>
  </si>
  <si>
    <t>Bond Interest Received - August</t>
  </si>
  <si>
    <t>Less Bond Interest Accrued at 6/30/2010</t>
  </si>
  <si>
    <t>York</t>
  </si>
  <si>
    <t>Preble Street Resource Center</t>
  </si>
  <si>
    <t>Neff</t>
  </si>
  <si>
    <t>Printing &amp; Postage</t>
  </si>
  <si>
    <t>Scouts</t>
  </si>
  <si>
    <t>Rowe</t>
  </si>
  <si>
    <t>Irving, N.</t>
  </si>
  <si>
    <t>Irving, S.</t>
  </si>
  <si>
    <t>Phillips</t>
  </si>
  <si>
    <t>Thibodeau</t>
  </si>
  <si>
    <t>Amortization 2010-2011</t>
  </si>
  <si>
    <t>Bonds at 6/30/11</t>
  </si>
  <si>
    <t>x2</t>
  </si>
  <si>
    <t>Bond Interest Received - May</t>
  </si>
  <si>
    <t>Bond Interest Accrued at 6/30/11</t>
  </si>
  <si>
    <t>Savings Interest Allocated (20%)</t>
  </si>
  <si>
    <t>Amount Segregated before pmt of Scholarship</t>
  </si>
  <si>
    <t>Net Assets</t>
  </si>
  <si>
    <t>Less Interest Allocated to Scholarship Fund</t>
  </si>
  <si>
    <t>Amortization 2011-2012</t>
  </si>
  <si>
    <t>Bonds at 6/30/12</t>
  </si>
  <si>
    <t>2011-2012 Income from Scholarship Fund</t>
  </si>
  <si>
    <t>WinterFest</t>
  </si>
  <si>
    <t>Barker</t>
  </si>
  <si>
    <t>Gonzalez</t>
  </si>
  <si>
    <t>Hawkins</t>
  </si>
  <si>
    <t>Henriksen</t>
  </si>
  <si>
    <t>Livingston</t>
  </si>
  <si>
    <t>Murphy, B.</t>
  </si>
  <si>
    <t>Murphy, S.</t>
  </si>
  <si>
    <t>O'Hare</t>
  </si>
  <si>
    <t>Noren</t>
  </si>
  <si>
    <t>Porter</t>
  </si>
  <si>
    <t>Santos</t>
  </si>
  <si>
    <t>Smith</t>
  </si>
  <si>
    <t>Talty</t>
  </si>
  <si>
    <t>Waindle</t>
  </si>
  <si>
    <t>Due from Internal Fund for F Fun Day sodas</t>
  </si>
  <si>
    <t>Bond Interest Received - February</t>
  </si>
  <si>
    <t>Bond Interest Received - June</t>
  </si>
  <si>
    <t>Accrued interest is same at beginning of</t>
  </si>
  <si>
    <t>year and end of year - removed these</t>
  </si>
  <si>
    <t>lines from calculation</t>
  </si>
  <si>
    <t>Amortization 2012-2013</t>
  </si>
  <si>
    <t>Bonds at 6/30/13</t>
  </si>
  <si>
    <t>(Note: amount paid out of scholarship fund was exactly the same as the earnings;</t>
  </si>
  <si>
    <t>the  remaining $128.91 came out of the club budget)</t>
  </si>
  <si>
    <t>Amount Paid for Scholarships</t>
  </si>
  <si>
    <t>2011-12 Activity:</t>
  </si>
  <si>
    <t>Due to Bug Light</t>
  </si>
  <si>
    <t>2012-2013 Income from Scholarship Fund</t>
  </si>
  <si>
    <t>2012-13 Activity</t>
  </si>
  <si>
    <t>Amount Paid for Prior Year Scholarship</t>
  </si>
  <si>
    <t>12/1 &amp; 6/1</t>
  </si>
  <si>
    <t>Due Dates</t>
  </si>
  <si>
    <t>8/1 &amp; 2/1</t>
  </si>
  <si>
    <t>FY12 was 176.58</t>
  </si>
  <si>
    <t>Amount may vary. Pd on  2/1/11-$307.71; 8/1/11-$172.55</t>
  </si>
  <si>
    <t>the  remaining $131.19 came out of the club budget)</t>
  </si>
  <si>
    <t>Total</t>
  </si>
  <si>
    <t>Theater Night</t>
  </si>
  <si>
    <t>Theater night</t>
  </si>
  <si>
    <t xml:space="preserve">Amount </t>
  </si>
  <si>
    <t>Remaining</t>
  </si>
  <si>
    <t>Jack Reckitt - signs</t>
  </si>
  <si>
    <t>South Portland Water Front Mkt Assn. wagon rides</t>
  </si>
  <si>
    <t>Polio Cans</t>
  </si>
  <si>
    <t>Use tax</t>
  </si>
  <si>
    <t>Christmas trees</t>
  </si>
  <si>
    <t>Shoppers Hardware for Xmas Tree lot</t>
  </si>
  <si>
    <t>Callahan, Catherine</t>
  </si>
  <si>
    <t>Written</t>
  </si>
  <si>
    <t>Kathy Cotter - Reimb for Christmas Trees</t>
  </si>
  <si>
    <t>Bill York - Reimb for Christmas Trees</t>
  </si>
  <si>
    <t>Ellie Speh - Reimb for Christmas Trees</t>
  </si>
  <si>
    <t>Central Maine Power - electricity at Mill Creek</t>
  </si>
  <si>
    <t>Shelter Box</t>
  </si>
  <si>
    <t>Christmas Tree Sale</t>
  </si>
  <si>
    <t>2012</t>
  </si>
  <si>
    <t>Tree payment ($10,000 deposit used)</t>
  </si>
  <si>
    <t>Total Expenses</t>
  </si>
  <si>
    <t>Profit</t>
  </si>
  <si>
    <t>Restricted</t>
  </si>
  <si>
    <t>Restricted for Homeless Vets</t>
  </si>
  <si>
    <t>VA2K Run</t>
  </si>
  <si>
    <t>Restricted for Scholarships from Theater Night</t>
  </si>
  <si>
    <t>Restricted for Additional Scholarships</t>
  </si>
  <si>
    <t>Kayanet</t>
  </si>
  <si>
    <t>Tree Deposit</t>
  </si>
  <si>
    <t>Edward Jones</t>
  </si>
  <si>
    <t>Road Race</t>
  </si>
  <si>
    <t>Anderson</t>
  </si>
  <si>
    <t>Restricted for Step up Program</t>
  </si>
  <si>
    <t>Family Fun Day</t>
  </si>
  <si>
    <t>Bond Interest Received - December</t>
  </si>
  <si>
    <t xml:space="preserve">Add interest from other months here.  </t>
  </si>
  <si>
    <t>Due to SMCC</t>
  </si>
  <si>
    <t>Restricted Funds Tree Sale (2013-14 Budget)</t>
  </si>
  <si>
    <t>Bank Rec</t>
  </si>
  <si>
    <t>Variance</t>
  </si>
  <si>
    <t>Freeport Rotary</t>
  </si>
  <si>
    <t>Balance, July 1, 2013</t>
  </si>
  <si>
    <t>2013-14 Activity</t>
  </si>
  <si>
    <t>Family Fun Day &amp; Strawberry Festival</t>
  </si>
  <si>
    <t>Youth</t>
  </si>
  <si>
    <t xml:space="preserve">  Additional scholarships</t>
  </si>
  <si>
    <t>Local</t>
  </si>
  <si>
    <t>Judy's Pantry</t>
  </si>
  <si>
    <t>Theater Night Surplus use to be determined</t>
  </si>
  <si>
    <t>Winter Fest Expense</t>
  </si>
  <si>
    <t>Veterans' Initiative</t>
  </si>
  <si>
    <t>Polio Plus cans</t>
  </si>
  <si>
    <t>Surplus/(Deficit)</t>
  </si>
  <si>
    <t>Category</t>
  </si>
  <si>
    <t>Totals</t>
  </si>
  <si>
    <t>Actual 12-13</t>
  </si>
  <si>
    <t>2013-14</t>
  </si>
  <si>
    <t>July 1, 2013 - June 30, 2014</t>
  </si>
  <si>
    <t>Scholar-ships</t>
  </si>
  <si>
    <t>Interna-tional</t>
  </si>
  <si>
    <t>Commun-ities</t>
  </si>
  <si>
    <t>Winter Fest</t>
  </si>
  <si>
    <t>Veterans</t>
  </si>
  <si>
    <t>2013-2014</t>
  </si>
  <si>
    <t>DETAILS</t>
  </si>
  <si>
    <t>Notes</t>
  </si>
  <si>
    <t>Theater Night -</t>
  </si>
  <si>
    <t>Receipts:</t>
  </si>
  <si>
    <t>Sale of tickets:</t>
  </si>
  <si>
    <t>Number of tickets</t>
  </si>
  <si>
    <t>Price</t>
  </si>
  <si>
    <t>Pass through - no budget needed</t>
  </si>
  <si>
    <t>Total Ticket Sales</t>
  </si>
  <si>
    <t xml:space="preserve">Pass through </t>
  </si>
  <si>
    <t>Sponsors</t>
  </si>
  <si>
    <t>Total revenues</t>
  </si>
  <si>
    <t>Expenses</t>
  </si>
  <si>
    <t>Rent space</t>
  </si>
  <si>
    <t>Printing</t>
  </si>
  <si>
    <t>Net Event Surplus</t>
  </si>
  <si>
    <t>In Community Service</t>
  </si>
  <si>
    <t>Program books</t>
  </si>
  <si>
    <t>City will print</t>
  </si>
  <si>
    <t>Open ceremony</t>
  </si>
  <si>
    <t>Lib $400 each; Step up $0; $450 other</t>
  </si>
  <si>
    <t>sponsor thank you</t>
  </si>
  <si>
    <t>14  students X $300</t>
  </si>
  <si>
    <t>Amount for SP</t>
  </si>
  <si>
    <t>Miscelleanous</t>
  </si>
  <si>
    <t>Event:</t>
  </si>
  <si>
    <t>2013 Spring Point Road Race</t>
  </si>
  <si>
    <t>Pass through + $400 Road Race</t>
  </si>
  <si>
    <t>Event Date:</t>
  </si>
  <si>
    <t>Budget Date:</t>
  </si>
  <si>
    <t>Income</t>
  </si>
  <si>
    <t>Comments</t>
  </si>
  <si>
    <t>Sponsorship</t>
  </si>
  <si>
    <t>Event Tickets</t>
  </si>
  <si>
    <t>Assume 200 x $20 each</t>
  </si>
  <si>
    <t>This is not just for Local-can be used for any category</t>
  </si>
  <si>
    <t>Income Subtotal</t>
  </si>
  <si>
    <t>in food cupboard</t>
  </si>
  <si>
    <t>Marketing</t>
  </si>
  <si>
    <t>Updated</t>
  </si>
  <si>
    <t>Awards</t>
  </si>
  <si>
    <t>Logistics</t>
  </si>
  <si>
    <t>Supplies</t>
  </si>
  <si>
    <t>Shirts</t>
  </si>
  <si>
    <t>Expense Subtotal</t>
  </si>
  <si>
    <t>Net</t>
  </si>
  <si>
    <t>Use of Funds:</t>
  </si>
  <si>
    <t>SP Food Cupboard  (70%)</t>
  </si>
  <si>
    <t>Judy's Pantry (10%)</t>
  </si>
  <si>
    <t>Veteran's needs (10%</t>
  </si>
  <si>
    <t>Bug Light (10%)</t>
  </si>
  <si>
    <t>In International</t>
  </si>
  <si>
    <t>Total Uses of Funds</t>
  </si>
  <si>
    <t>International -Suggestions</t>
  </si>
  <si>
    <t>Partners for World Health</t>
  </si>
  <si>
    <t>Guatamala</t>
  </si>
  <si>
    <t>Percentage</t>
  </si>
  <si>
    <t>Crutches for Africa</t>
  </si>
  <si>
    <t>Net Road Race Funds</t>
  </si>
  <si>
    <t>Currently Budgeted</t>
  </si>
  <si>
    <t>Amount over Race Funds</t>
  </si>
  <si>
    <t>x</t>
  </si>
  <si>
    <t>Road race - Charles Scribner</t>
  </si>
  <si>
    <t>Road race - Robert Aube</t>
  </si>
  <si>
    <t>Road race - Bay State Race Services</t>
  </si>
  <si>
    <t>Winterfest logo contest winner - Dana Hatton</t>
  </si>
  <si>
    <t>$330 Guatemala</t>
  </si>
  <si>
    <t>Rotary Club of Sanford-Springvale- Guatemala</t>
  </si>
  <si>
    <t>Road Race - Kennealy Photography &amp; Imaging</t>
  </si>
  <si>
    <t>Road Race - Infinity DTG Printers LLC</t>
  </si>
  <si>
    <t>Road Race - Tom Meyers</t>
  </si>
  <si>
    <t>Vets</t>
  </si>
  <si>
    <t>Restricted Funds Tree Sale (2014-15 Budget)</t>
  </si>
  <si>
    <t>Bill York Tree Racks</t>
  </si>
  <si>
    <t>Kathy Cotter Tree Racks</t>
  </si>
  <si>
    <t>Thomas Memorial Library - Youth Literacy</t>
  </si>
  <si>
    <t>Shuttlebus - Zoom</t>
  </si>
  <si>
    <t>Kathy Cotter Theater Night</t>
  </si>
  <si>
    <t>Actual Surplus</t>
  </si>
  <si>
    <t>Theater Night Surplus use TBD</t>
  </si>
  <si>
    <t>Tom Meyer - Bug Light reimb</t>
  </si>
  <si>
    <t>Portland Players - Theater Night</t>
  </si>
  <si>
    <t>South Portland High School - Hassel to Tassel</t>
  </si>
  <si>
    <t>South Portland Food Cupboard</t>
  </si>
  <si>
    <t>Community Service Projects</t>
  </si>
  <si>
    <t>Hassel to Tassel</t>
  </si>
  <si>
    <t>Total Community Service Projects</t>
  </si>
  <si>
    <t>Total Disbursed</t>
  </si>
  <si>
    <t>Net profit from Road Race</t>
  </si>
  <si>
    <t>South Portland Public Library - Literacy</t>
  </si>
  <si>
    <t>SP Food Cupboard</t>
  </si>
  <si>
    <t>Judy's Panty</t>
  </si>
  <si>
    <t>From Net Assets</t>
  </si>
  <si>
    <t>Lac Megantic Teddy Bears</t>
  </si>
  <si>
    <t>Lac Megantic Food Cupboard</t>
  </si>
  <si>
    <t>Rotoplast</t>
  </si>
  <si>
    <t>Kathy Cotter - Christmas Tree Permit</t>
  </si>
  <si>
    <t>CMP - Deposit for lighting at lot</t>
  </si>
  <si>
    <t>City of South Portland Ice Rink</t>
  </si>
  <si>
    <t>Dick Yerxa - reimb tables &amp; linens</t>
  </si>
  <si>
    <t>Waterfront Graphics &amp; Printing</t>
  </si>
  <si>
    <t>Business Checking Balance 10/31/2013</t>
  </si>
  <si>
    <t>Lac Megantic</t>
  </si>
  <si>
    <t>Winterfest</t>
  </si>
  <si>
    <t>As of October 31, 2013</t>
  </si>
  <si>
    <t>AS OF OCTOBER 31, 2013</t>
  </si>
  <si>
    <t>Road Race Disbursements</t>
  </si>
  <si>
    <t>Remaining to disburse (Veterans &amp; Bug Light)</t>
  </si>
  <si>
    <t>Lac Megantic Adopt a Child</t>
  </si>
  <si>
    <t>Kathy Cotter - aprons</t>
  </si>
  <si>
    <t>Adrienne Murphy - Cape Courier Ad</t>
  </si>
  <si>
    <t>Lac Megantic No Restriction</t>
  </si>
  <si>
    <t>Rotary Club of Hallowell-supplies for Philippines</t>
  </si>
  <si>
    <t>Reimb Kathy C. Wreath Bows &amp; Tree Stands</t>
  </si>
  <si>
    <t>Shelter box</t>
  </si>
  <si>
    <t>Reimb Kathy C. supplies</t>
  </si>
  <si>
    <t>Homeless Vets</t>
  </si>
  <si>
    <t>$200 Road Race; $160 Bug Light</t>
  </si>
  <si>
    <t>Winterfest - Ice Rink</t>
  </si>
  <si>
    <t xml:space="preserve">Winterfest </t>
  </si>
  <si>
    <t>VOID</t>
  </si>
  <si>
    <t xml:space="preserve">Judy's Pantry - Board Approved </t>
  </si>
  <si>
    <t>Veterans - Hobbs Funeral $500; $100 Dan Davidson</t>
  </si>
  <si>
    <t>G&amp;S Tree Farm</t>
  </si>
  <si>
    <t>Seed cash</t>
  </si>
  <si>
    <t>Seed</t>
  </si>
  <si>
    <t>Void</t>
  </si>
  <si>
    <t>Trees - seed money for the day</t>
  </si>
  <si>
    <t>Rotary of Hallowell - Phillipines</t>
  </si>
  <si>
    <t>Total International</t>
  </si>
  <si>
    <t>$500 to food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</si>
</sst>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_);\(0.00\)"/>
    <numFmt numFmtId="166" formatCode="_(* #,##0_);_(* \(#,##0\);_(* &quot;-&quot;??_);_(@_)"/>
    <numFmt numFmtId="167" formatCode="m/d;@"/>
    <numFmt numFmtId="168" formatCode="0.00_);[Red]\(0.00\)"/>
    <numFmt numFmtId="169" formatCode="_(&quot;$&quot;* #,##0_);_(&quot;$&quot;* \(#,##0\);_(&quot;$&quot;* &quot;-&quot;??_);_(@_)"/>
    <numFmt numFmtId="170" formatCode="[$-409]d\-mmm\-yyyy;@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Wingdings"/>
      <charset val="2"/>
    </font>
    <font>
      <u val="singleAccounting"/>
      <sz val="11"/>
      <color theme="1"/>
      <name val="Arial"/>
      <family val="2"/>
    </font>
    <font>
      <u val="doubleAccounting"/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8" tint="-0.499984740745262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/>
      <right style="thick">
        <color rgb="FF00B0F0"/>
      </right>
      <top/>
      <bottom style="thin">
        <color indexed="64"/>
      </bottom>
      <diagonal/>
    </border>
    <border>
      <left/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 style="thin">
        <color indexed="64"/>
      </bottom>
      <diagonal/>
    </border>
    <border>
      <left/>
      <right/>
      <top style="thick">
        <color rgb="FF00B0F0"/>
      </top>
      <bottom/>
      <diagonal/>
    </border>
    <border>
      <left/>
      <right/>
      <top style="thin">
        <color indexed="64"/>
      </top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/>
      <top style="thick">
        <color rgb="FF00B0F0"/>
      </top>
      <bottom style="thin">
        <color indexed="64"/>
      </bottom>
      <diagonal/>
    </border>
    <border>
      <left/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/>
      <top/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 style="thin">
        <color indexed="64"/>
      </top>
      <bottom style="double">
        <color indexed="64"/>
      </bottom>
      <diagonal/>
    </border>
    <border>
      <left/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4" fontId="1" fillId="0" borderId="0" xfId="5"/>
    <xf numFmtId="44" fontId="0" fillId="0" borderId="0" xfId="0" applyNumberFormat="1"/>
    <xf numFmtId="44" fontId="1" fillId="0" borderId="0" xfId="5" applyBorder="1"/>
    <xf numFmtId="0" fontId="0" fillId="0" borderId="0" xfId="0" applyBorder="1"/>
    <xf numFmtId="44" fontId="0" fillId="0" borderId="0" xfId="0" applyNumberFormat="1" applyBorder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quotePrefix="1"/>
    <xf numFmtId="44" fontId="0" fillId="0" borderId="1" xfId="0" applyNumberFormat="1" applyBorder="1"/>
    <xf numFmtId="0" fontId="0" fillId="0" borderId="2" xfId="0" applyBorder="1"/>
    <xf numFmtId="0" fontId="0" fillId="0" borderId="3" xfId="0" applyBorder="1"/>
    <xf numFmtId="43" fontId="0" fillId="0" borderId="0" xfId="0" applyNumberFormat="1"/>
    <xf numFmtId="0" fontId="7" fillId="0" borderId="0" xfId="0" applyFont="1"/>
    <xf numFmtId="39" fontId="0" fillId="0" borderId="0" xfId="0" applyNumberFormat="1"/>
    <xf numFmtId="39" fontId="0" fillId="0" borderId="2" xfId="0" applyNumberFormat="1" applyBorder="1"/>
    <xf numFmtId="0" fontId="8" fillId="0" borderId="0" xfId="0" applyFont="1"/>
    <xf numFmtId="165" fontId="0" fillId="0" borderId="0" xfId="0" applyNumberFormat="1"/>
    <xf numFmtId="43" fontId="3" fillId="0" borderId="3" xfId="0" applyNumberFormat="1" applyFont="1" applyBorder="1" applyAlignment="1">
      <alignment horizontal="center"/>
    </xf>
    <xf numFmtId="43" fontId="0" fillId="0" borderId="2" xfId="0" applyNumberFormat="1" applyBorder="1"/>
    <xf numFmtId="43" fontId="1" fillId="0" borderId="0" xfId="1"/>
    <xf numFmtId="44" fontId="1" fillId="0" borderId="0" xfId="5" applyFill="1"/>
    <xf numFmtId="0" fontId="5" fillId="0" borderId="0" xfId="8" applyAlignment="1" applyProtection="1"/>
    <xf numFmtId="0" fontId="9" fillId="0" borderId="0" xfId="0" applyFont="1"/>
    <xf numFmtId="0" fontId="2" fillId="0" borderId="0" xfId="0" applyFont="1" applyBorder="1"/>
    <xf numFmtId="166" fontId="1" fillId="0" borderId="0" xfId="1" applyNumberFormat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3" fillId="0" borderId="0" xfId="0" applyNumberFormat="1" applyFont="1"/>
    <xf numFmtId="43" fontId="3" fillId="0" borderId="1" xfId="0" applyNumberFormat="1" applyFont="1" applyBorder="1"/>
    <xf numFmtId="43" fontId="3" fillId="0" borderId="4" xfId="0" applyNumberFormat="1" applyFont="1" applyBorder="1"/>
    <xf numFmtId="0" fontId="0" fillId="0" borderId="2" xfId="0" applyBorder="1" applyAlignment="1">
      <alignment horizontal="right"/>
    </xf>
    <xf numFmtId="0" fontId="3" fillId="0" borderId="0" xfId="0" applyFont="1" applyBorder="1"/>
    <xf numFmtId="44" fontId="3" fillId="0" borderId="0" xfId="0" applyNumberFormat="1" applyFont="1" applyBorder="1"/>
    <xf numFmtId="0" fontId="3" fillId="0" borderId="0" xfId="0" applyFont="1" applyFill="1" applyBorder="1"/>
    <xf numFmtId="2" fontId="3" fillId="0" borderId="0" xfId="0" applyNumberFormat="1" applyFont="1" applyBorder="1"/>
    <xf numFmtId="1" fontId="3" fillId="0" borderId="0" xfId="0" applyNumberFormat="1" applyFont="1" applyBorder="1"/>
    <xf numFmtId="0" fontId="0" fillId="0" borderId="0" xfId="0" applyFill="1" applyBorder="1"/>
    <xf numFmtId="43" fontId="2" fillId="0" borderId="5" xfId="0" applyNumberFormat="1" applyFont="1" applyBorder="1"/>
    <xf numFmtId="16" fontId="0" fillId="0" borderId="0" xfId="0" applyNumberFormat="1"/>
    <xf numFmtId="0" fontId="2" fillId="0" borderId="0" xfId="0" applyFont="1" applyBorder="1" applyAlignment="1">
      <alignment horizontal="center"/>
    </xf>
    <xf numFmtId="1" fontId="0" fillId="0" borderId="0" xfId="0" applyNumberFormat="1"/>
    <xf numFmtId="43" fontId="3" fillId="0" borderId="0" xfId="0" applyNumberFormat="1" applyFont="1" applyBorder="1"/>
    <xf numFmtId="43" fontId="2" fillId="0" borderId="0" xfId="0" applyNumberFormat="1" applyFont="1" applyBorder="1"/>
    <xf numFmtId="14" fontId="0" fillId="0" borderId="0" xfId="0" applyNumberFormat="1"/>
    <xf numFmtId="43" fontId="3" fillId="0" borderId="0" xfId="0" applyNumberFormat="1" applyFont="1" applyAlignment="1">
      <alignment horizontal="center"/>
    </xf>
    <xf numFmtId="43" fontId="3" fillId="0" borderId="2" xfId="0" applyNumberFormat="1" applyFont="1" applyBorder="1"/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2" fontId="0" fillId="0" borderId="0" xfId="0" applyNumberFormat="1"/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43" fontId="3" fillId="0" borderId="0" xfId="1" applyFont="1"/>
    <xf numFmtId="43" fontId="2" fillId="0" borderId="0" xfId="1" applyFont="1"/>
    <xf numFmtId="43" fontId="3" fillId="0" borderId="4" xfId="1" applyFont="1" applyBorder="1"/>
    <xf numFmtId="43" fontId="3" fillId="0" borderId="1" xfId="1" applyFont="1" applyBorder="1"/>
    <xf numFmtId="43" fontId="0" fillId="0" borderId="0" xfId="1" applyFont="1" applyBorder="1"/>
    <xf numFmtId="43" fontId="2" fillId="0" borderId="5" xfId="1" applyFont="1" applyBorder="1"/>
    <xf numFmtId="43" fontId="2" fillId="0" borderId="0" xfId="1" applyFont="1" applyBorder="1"/>
    <xf numFmtId="43" fontId="3" fillId="0" borderId="0" xfId="1" applyFont="1" applyBorder="1"/>
    <xf numFmtId="43" fontId="9" fillId="0" borderId="0" xfId="1" applyFont="1" applyBorder="1" applyAlignment="1">
      <alignment horizontal="left"/>
    </xf>
    <xf numFmtId="43" fontId="0" fillId="0" borderId="2" xfId="1" applyFont="1" applyBorder="1"/>
    <xf numFmtId="0" fontId="11" fillId="0" borderId="0" xfId="0" applyFont="1"/>
    <xf numFmtId="43" fontId="0" fillId="0" borderId="0" xfId="2" applyFont="1"/>
    <xf numFmtId="43" fontId="0" fillId="0" borderId="2" xfId="2" applyFont="1" applyBorder="1"/>
    <xf numFmtId="43" fontId="3" fillId="0" borderId="0" xfId="2" applyFont="1"/>
    <xf numFmtId="0" fontId="2" fillId="0" borderId="0" xfId="9" applyFont="1"/>
    <xf numFmtId="0" fontId="3" fillId="0" borderId="0" xfId="9"/>
    <xf numFmtId="0" fontId="2" fillId="0" borderId="0" xfId="9" applyFont="1" applyAlignment="1">
      <alignment horizontal="center"/>
    </xf>
    <xf numFmtId="0" fontId="3" fillId="0" borderId="0" xfId="9" applyAlignment="1">
      <alignment horizontal="center"/>
    </xf>
    <xf numFmtId="14" fontId="3" fillId="0" borderId="0" xfId="9" applyNumberFormat="1" applyAlignment="1">
      <alignment horizontal="center"/>
    </xf>
    <xf numFmtId="0" fontId="3" fillId="0" borderId="0" xfId="9" applyFont="1" applyAlignment="1">
      <alignment horizontal="center"/>
    </xf>
    <xf numFmtId="0" fontId="3" fillId="0" borderId="0" xfId="9" applyFont="1"/>
    <xf numFmtId="14" fontId="3" fillId="0" borderId="0" xfId="9" applyNumberFormat="1"/>
    <xf numFmtId="43" fontId="3" fillId="0" borderId="0" xfId="9" applyNumberFormat="1"/>
    <xf numFmtId="1" fontId="3" fillId="0" borderId="0" xfId="9" applyNumberFormat="1"/>
    <xf numFmtId="44" fontId="3" fillId="0" borderId="0" xfId="6" applyFont="1"/>
    <xf numFmtId="43" fontId="3" fillId="0" borderId="2" xfId="3" applyFont="1" applyBorder="1"/>
    <xf numFmtId="43" fontId="0" fillId="0" borderId="0" xfId="3" applyFont="1" applyBorder="1"/>
    <xf numFmtId="43" fontId="0" fillId="0" borderId="0" xfId="3" applyFont="1"/>
    <xf numFmtId="44" fontId="12" fillId="0" borderId="0" xfId="6"/>
    <xf numFmtId="43" fontId="0" fillId="0" borderId="1" xfId="3" applyFont="1" applyBorder="1"/>
    <xf numFmtId="43" fontId="12" fillId="0" borderId="0" xfId="3"/>
    <xf numFmtId="44" fontId="12" fillId="0" borderId="0" xfId="6" applyFont="1"/>
    <xf numFmtId="43" fontId="12" fillId="0" borderId="0" xfId="3" applyBorder="1"/>
    <xf numFmtId="43" fontId="0" fillId="0" borderId="3" xfId="3" applyFont="1" applyBorder="1"/>
    <xf numFmtId="43" fontId="12" fillId="0" borderId="0" xfId="3" applyFont="1"/>
    <xf numFmtId="0" fontId="3" fillId="0" borderId="0" xfId="9" applyAlignment="1">
      <alignment horizontal="right"/>
    </xf>
    <xf numFmtId="43" fontId="0" fillId="0" borderId="1" xfId="1" applyFont="1" applyBorder="1"/>
    <xf numFmtId="0" fontId="13" fillId="0" borderId="0" xfId="0" applyFont="1"/>
    <xf numFmtId="43" fontId="8" fillId="0" borderId="0" xfId="2" applyFont="1"/>
    <xf numFmtId="43" fontId="3" fillId="0" borderId="0" xfId="2" applyFont="1" applyBorder="1"/>
    <xf numFmtId="0" fontId="19" fillId="0" borderId="0" xfId="0" applyFont="1"/>
    <xf numFmtId="44" fontId="19" fillId="0" borderId="0" xfId="0" applyNumberFormat="1" applyFont="1"/>
    <xf numFmtId="43" fontId="14" fillId="0" borderId="0" xfId="2" applyFont="1"/>
    <xf numFmtId="167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7" fontId="3" fillId="0" borderId="0" xfId="0" applyNumberFormat="1" applyFont="1" applyBorder="1" applyAlignment="1">
      <alignment horizontal="center"/>
    </xf>
    <xf numFmtId="43" fontId="15" fillId="2" borderId="0" xfId="2" applyFont="1" applyFill="1"/>
    <xf numFmtId="43" fontId="3" fillId="0" borderId="0" xfId="0" applyNumberFormat="1" applyFont="1" applyFill="1"/>
    <xf numFmtId="43" fontId="3" fillId="0" borderId="2" xfId="0" applyNumberFormat="1" applyFont="1" applyFill="1" applyBorder="1"/>
    <xf numFmtId="43" fontId="16" fillId="0" borderId="0" xfId="0" applyNumberFormat="1" applyFont="1"/>
    <xf numFmtId="167" fontId="3" fillId="0" borderId="0" xfId="0" applyNumberFormat="1" applyFont="1" applyFill="1" applyAlignment="1">
      <alignment horizontal="center"/>
    </xf>
    <xf numFmtId="16" fontId="3" fillId="0" borderId="0" xfId="0" applyNumberFormat="1" applyFont="1"/>
    <xf numFmtId="0" fontId="2" fillId="0" borderId="6" xfId="0" applyFont="1" applyBorder="1"/>
    <xf numFmtId="43" fontId="0" fillId="0" borderId="6" xfId="1" applyFont="1" applyBorder="1"/>
    <xf numFmtId="0" fontId="0" fillId="0" borderId="6" xfId="0" applyBorder="1"/>
    <xf numFmtId="43" fontId="3" fillId="0" borderId="6" xfId="0" applyNumberFormat="1" applyFont="1" applyBorder="1"/>
    <xf numFmtId="43" fontId="20" fillId="0" borderId="6" xfId="1" applyFont="1" applyBorder="1"/>
    <xf numFmtId="43" fontId="21" fillId="0" borderId="6" xfId="1" applyFont="1" applyBorder="1"/>
    <xf numFmtId="39" fontId="0" fillId="0" borderId="0" xfId="0" applyNumberFormat="1" applyFill="1"/>
    <xf numFmtId="0" fontId="0" fillId="2" borderId="0" xfId="0" applyFill="1"/>
    <xf numFmtId="0" fontId="0" fillId="0" borderId="0" xfId="0" applyFill="1"/>
    <xf numFmtId="43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1" fillId="0" borderId="0" xfId="0" applyFont="1"/>
    <xf numFmtId="4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Fill="1"/>
    <xf numFmtId="43" fontId="0" fillId="0" borderId="0" xfId="0" applyNumberFormat="1" applyFill="1"/>
    <xf numFmtId="0" fontId="1" fillId="0" borderId="0" xfId="0" applyFont="1" applyAlignment="1">
      <alignment horizontal="left"/>
    </xf>
    <xf numFmtId="168" fontId="3" fillId="0" borderId="0" xfId="0" applyNumberFormat="1" applyFont="1"/>
    <xf numFmtId="168" fontId="3" fillId="0" borderId="0" xfId="0" applyNumberFormat="1" applyFont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/>
    <xf numFmtId="0" fontId="1" fillId="0" borderId="0" xfId="0" applyFont="1"/>
    <xf numFmtId="43" fontId="0" fillId="0" borderId="0" xfId="0" applyNumberFormat="1"/>
    <xf numFmtId="39" fontId="0" fillId="0" borderId="0" xfId="0" applyNumberFormat="1"/>
    <xf numFmtId="43" fontId="1" fillId="0" borderId="0" xfId="0" applyNumberFormat="1" applyFont="1"/>
    <xf numFmtId="16" fontId="0" fillId="0" borderId="0" xfId="0" applyNumberFormat="1"/>
    <xf numFmtId="43" fontId="0" fillId="0" borderId="0" xfId="1" applyFont="1"/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Alignment="1">
      <alignment wrapText="1"/>
    </xf>
    <xf numFmtId="43" fontId="1" fillId="0" borderId="0" xfId="0" applyNumberFormat="1" applyFont="1" applyFill="1"/>
    <xf numFmtId="39" fontId="1" fillId="0" borderId="0" xfId="0" applyNumberFormat="1" applyFont="1"/>
    <xf numFmtId="39" fontId="0" fillId="2" borderId="0" xfId="0" applyNumberFormat="1" applyFill="1"/>
    <xf numFmtId="43" fontId="2" fillId="0" borderId="0" xfId="0" applyNumberFormat="1" applyFont="1"/>
    <xf numFmtId="43" fontId="0" fillId="0" borderId="2" xfId="3" applyFont="1" applyBorder="1"/>
    <xf numFmtId="43" fontId="3" fillId="0" borderId="0" xfId="0" applyNumberFormat="1" applyFont="1" applyFill="1" applyAlignment="1">
      <alignment horizontal="center"/>
    </xf>
    <xf numFmtId="0" fontId="24" fillId="0" borderId="0" xfId="0" applyFont="1"/>
    <xf numFmtId="43" fontId="0" fillId="0" borderId="0" xfId="1" applyFont="1" applyFill="1"/>
    <xf numFmtId="0" fontId="0" fillId="0" borderId="0" xfId="0" applyFont="1" applyFill="1"/>
    <xf numFmtId="43" fontId="0" fillId="0" borderId="0" xfId="0" applyNumberFormat="1" applyFont="1" applyFill="1"/>
    <xf numFmtId="40" fontId="0" fillId="0" borderId="2" xfId="0" applyNumberFormat="1" applyFont="1" applyFill="1" applyBorder="1"/>
    <xf numFmtId="0" fontId="23" fillId="0" borderId="0" xfId="0" applyFont="1"/>
    <xf numFmtId="43" fontId="23" fillId="0" borderId="0" xfId="0" applyNumberFormat="1" applyFont="1" applyFill="1" applyBorder="1"/>
    <xf numFmtId="0" fontId="0" fillId="0" borderId="0" xfId="0" applyFont="1"/>
    <xf numFmtId="0" fontId="25" fillId="0" borderId="0" xfId="0" applyFont="1"/>
    <xf numFmtId="43" fontId="0" fillId="2" borderId="0" xfId="1" applyFont="1" applyFill="1"/>
    <xf numFmtId="43" fontId="0" fillId="3" borderId="0" xfId="1" applyFont="1" applyFill="1"/>
    <xf numFmtId="0" fontId="24" fillId="0" borderId="0" xfId="0" applyFont="1" applyAlignment="1">
      <alignment vertical="top"/>
    </xf>
    <xf numFmtId="43" fontId="0" fillId="3" borderId="0" xfId="1" applyFont="1" applyFill="1" applyAlignment="1">
      <alignment vertical="top"/>
    </xf>
    <xf numFmtId="43" fontId="0" fillId="3" borderId="0" xfId="1" applyFont="1" applyFill="1" applyBorder="1"/>
    <xf numFmtId="43" fontId="0" fillId="4" borderId="0" xfId="1" applyFont="1" applyFill="1"/>
    <xf numFmtId="43" fontId="0" fillId="4" borderId="2" xfId="1" applyFont="1" applyFill="1" applyBorder="1"/>
    <xf numFmtId="43" fontId="25" fillId="0" borderId="0" xfId="14" applyNumberFormat="1" applyFont="1" applyFill="1" applyBorder="1"/>
    <xf numFmtId="43" fontId="23" fillId="0" borderId="1" xfId="0" applyNumberFormat="1" applyFont="1" applyFill="1" applyBorder="1"/>
    <xf numFmtId="0" fontId="0" fillId="5" borderId="0" xfId="0" applyFill="1" applyAlignment="1">
      <alignment horizontal="center"/>
    </xf>
    <xf numFmtId="0" fontId="0" fillId="5" borderId="0" xfId="0" applyFont="1" applyFill="1"/>
    <xf numFmtId="0" fontId="23" fillId="0" borderId="3" xfId="0" applyFont="1" applyBorder="1" applyAlignment="1">
      <alignment horizontal="left"/>
    </xf>
    <xf numFmtId="0" fontId="23" fillId="0" borderId="3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43" fontId="0" fillId="0" borderId="2" xfId="0" applyNumberFormat="1" applyFont="1" applyBorder="1"/>
    <xf numFmtId="43" fontId="0" fillId="0" borderId="1" xfId="0" applyNumberFormat="1" applyFont="1" applyBorder="1" applyAlignment="1">
      <alignment vertical="top"/>
    </xf>
    <xf numFmtId="43" fontId="0" fillId="0" borderId="0" xfId="0" applyNumberFormat="1" applyFont="1"/>
    <xf numFmtId="43" fontId="1" fillId="0" borderId="3" xfId="0" applyNumberFormat="1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167" fontId="3" fillId="0" borderId="0" xfId="0" applyNumberFormat="1" applyFont="1" applyAlignment="1">
      <alignment horizontal="center" wrapText="1" shrinkToFit="1"/>
    </xf>
    <xf numFmtId="43" fontId="3" fillId="0" borderId="0" xfId="0" applyNumberFormat="1" applyFont="1" applyAlignment="1">
      <alignment horizontal="center" wrapText="1" shrinkToFit="1"/>
    </xf>
    <xf numFmtId="43" fontId="1" fillId="0" borderId="0" xfId="0" applyNumberFormat="1" applyFont="1" applyAlignment="1">
      <alignment horizontal="center" wrapText="1" shrinkToFit="1"/>
    </xf>
    <xf numFmtId="43" fontId="1" fillId="0" borderId="0" xfId="0" applyNumberFormat="1" applyFont="1" applyFill="1" applyAlignment="1">
      <alignment horizontal="center" wrapText="1" shrinkToFit="1"/>
    </xf>
    <xf numFmtId="43" fontId="13" fillId="0" borderId="0" xfId="0" applyNumberFormat="1" applyFont="1"/>
    <xf numFmtId="0" fontId="0" fillId="6" borderId="0" xfId="0" applyFont="1" applyFill="1"/>
    <xf numFmtId="43" fontId="23" fillId="0" borderId="3" xfId="1" applyFont="1" applyFill="1" applyBorder="1" applyAlignment="1">
      <alignment horizontal="center"/>
    </xf>
    <xf numFmtId="0" fontId="26" fillId="0" borderId="7" xfId="0" applyFont="1" applyFill="1" applyBorder="1"/>
    <xf numFmtId="0" fontId="0" fillId="0" borderId="8" xfId="0" applyFont="1" applyFill="1" applyBorder="1"/>
    <xf numFmtId="0" fontId="27" fillId="0" borderId="9" xfId="0" applyFont="1" applyFill="1" applyBorder="1"/>
    <xf numFmtId="166" fontId="0" fillId="0" borderId="10" xfId="0" applyNumberFormat="1" applyFont="1" applyFill="1" applyBorder="1"/>
    <xf numFmtId="0" fontId="0" fillId="0" borderId="9" xfId="0" applyFont="1" applyFill="1" applyBorder="1"/>
    <xf numFmtId="166" fontId="0" fillId="0" borderId="10" xfId="1" applyNumberFormat="1" applyFont="1" applyFill="1" applyBorder="1"/>
    <xf numFmtId="169" fontId="0" fillId="0" borderId="11" xfId="5" applyNumberFormat="1" applyFont="1" applyFill="1" applyBorder="1"/>
    <xf numFmtId="0" fontId="0" fillId="0" borderId="9" xfId="0" applyFill="1" applyBorder="1"/>
    <xf numFmtId="166" fontId="0" fillId="0" borderId="11" xfId="1" applyNumberFormat="1" applyFont="1" applyFill="1" applyBorder="1"/>
    <xf numFmtId="0" fontId="0" fillId="0" borderId="10" xfId="0" applyFill="1" applyBorder="1"/>
    <xf numFmtId="166" fontId="0" fillId="0" borderId="12" xfId="1" applyNumberFormat="1" applyFont="1" applyFill="1" applyBorder="1"/>
    <xf numFmtId="0" fontId="23" fillId="0" borderId="13" xfId="0" applyFont="1" applyFill="1" applyBorder="1"/>
    <xf numFmtId="166" fontId="23" fillId="0" borderId="14" xfId="0" applyNumberFormat="1" applyFont="1" applyFill="1" applyBorder="1"/>
    <xf numFmtId="0" fontId="23" fillId="0" borderId="15" xfId="0" applyFont="1" applyBorder="1"/>
    <xf numFmtId="0" fontId="0" fillId="0" borderId="16" xfId="0" applyFont="1" applyBorder="1"/>
    <xf numFmtId="0" fontId="0" fillId="0" borderId="8" xfId="0" applyFont="1" applyBorder="1"/>
    <xf numFmtId="0" fontId="0" fillId="0" borderId="9" xfId="0" applyBorder="1"/>
    <xf numFmtId="166" fontId="0" fillId="0" borderId="0" xfId="1" applyNumberFormat="1" applyFont="1" applyBorder="1"/>
    <xf numFmtId="0" fontId="0" fillId="0" borderId="10" xfId="0" applyFont="1" applyBorder="1"/>
    <xf numFmtId="0" fontId="0" fillId="0" borderId="10" xfId="0" applyBorder="1"/>
    <xf numFmtId="166" fontId="0" fillId="0" borderId="2" xfId="1" applyNumberFormat="1" applyFont="1" applyBorder="1"/>
    <xf numFmtId="0" fontId="23" fillId="0" borderId="13" xfId="0" applyFont="1" applyBorder="1"/>
    <xf numFmtId="166" fontId="23" fillId="0" borderId="17" xfId="1" applyNumberFormat="1" applyFont="1" applyBorder="1"/>
    <xf numFmtId="0" fontId="0" fillId="0" borderId="18" xfId="0" applyFon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0" fontId="28" fillId="0" borderId="9" xfId="0" applyFont="1" applyBorder="1"/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/>
    <xf numFmtId="43" fontId="0" fillId="0" borderId="4" xfId="1" applyFont="1" applyBorder="1"/>
    <xf numFmtId="0" fontId="2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Fill="1" applyBorder="1" applyAlignment="1">
      <alignment horizontal="left"/>
    </xf>
    <xf numFmtId="43" fontId="0" fillId="0" borderId="19" xfId="0" applyNumberFormat="1" applyBorder="1"/>
    <xf numFmtId="0" fontId="0" fillId="0" borderId="18" xfId="0" applyBorder="1"/>
    <xf numFmtId="0" fontId="23" fillId="0" borderId="3" xfId="0" applyFont="1" applyBorder="1"/>
    <xf numFmtId="0" fontId="0" fillId="0" borderId="13" xfId="0" applyBorder="1"/>
    <xf numFmtId="10" fontId="0" fillId="0" borderId="0" xfId="16" applyNumberFormat="1" applyFont="1" applyAlignment="1">
      <alignment horizontal="left"/>
    </xf>
    <xf numFmtId="0" fontId="29" fillId="0" borderId="7" xfId="0" applyFont="1" applyBorder="1" applyAlignment="1">
      <alignment horizontal="left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6" fontId="0" fillId="0" borderId="10" xfId="0" applyNumberFormat="1" applyBorder="1"/>
    <xf numFmtId="0" fontId="0" fillId="0" borderId="0" xfId="0" applyFont="1" applyAlignment="1">
      <alignment horizontal="left"/>
    </xf>
    <xf numFmtId="166" fontId="0" fillId="0" borderId="11" xfId="0" applyNumberFormat="1" applyBorder="1"/>
    <xf numFmtId="166" fontId="0" fillId="0" borderId="17" xfId="1" applyNumberFormat="1" applyFont="1" applyBorder="1"/>
    <xf numFmtId="166" fontId="0" fillId="0" borderId="14" xfId="0" applyNumberFormat="1" applyBorder="1"/>
    <xf numFmtId="0" fontId="24" fillId="0" borderId="0" xfId="0" quotePrefix="1" applyFont="1"/>
    <xf numFmtId="43" fontId="2" fillId="0" borderId="0" xfId="1" applyFont="1" applyFill="1" applyAlignment="1">
      <alignment horizontal="center"/>
    </xf>
    <xf numFmtId="43" fontId="25" fillId="0" borderId="3" xfId="0" applyNumberFormat="1" applyFont="1" applyFill="1" applyBorder="1" applyAlignment="1">
      <alignment horizontal="center"/>
    </xf>
    <xf numFmtId="0" fontId="4" fillId="0" borderId="0" xfId="15" applyFont="1" applyAlignment="1">
      <alignment horizontal="center"/>
    </xf>
    <xf numFmtId="44" fontId="1" fillId="0" borderId="0" xfId="5" applyFont="1" applyBorder="1"/>
    <xf numFmtId="43" fontId="1" fillId="0" borderId="0" xfId="1" applyFont="1"/>
    <xf numFmtId="43" fontId="0" fillId="0" borderId="1" xfId="0" applyNumberFormat="1" applyBorder="1"/>
    <xf numFmtId="43" fontId="0" fillId="0" borderId="3" xfId="0" applyNumberFormat="1" applyBorder="1"/>
    <xf numFmtId="0" fontId="3" fillId="0" borderId="2" xfId="0" applyFont="1" applyBorder="1"/>
    <xf numFmtId="43" fontId="6" fillId="0" borderId="0" xfId="0" applyNumberFormat="1" applyFont="1" applyAlignment="1">
      <alignment horizontal="center" wrapText="1" shrinkToFit="1"/>
    </xf>
    <xf numFmtId="44" fontId="1" fillId="0" borderId="0" xfId="5" applyFont="1"/>
    <xf numFmtId="0" fontId="0" fillId="0" borderId="0" xfId="0" applyAlignment="1">
      <alignment horizontal="center" wrapText="1"/>
    </xf>
    <xf numFmtId="43" fontId="0" fillId="0" borderId="22" xfId="1" applyFont="1" applyBorder="1"/>
    <xf numFmtId="0" fontId="6" fillId="0" borderId="16" xfId="0" applyFont="1" applyBorder="1"/>
    <xf numFmtId="0" fontId="2" fillId="0" borderId="0" xfId="0" applyFont="1" applyFill="1"/>
    <xf numFmtId="0" fontId="1" fillId="0" borderId="0" xfId="0" applyFont="1" applyFill="1"/>
    <xf numFmtId="43" fontId="1" fillId="0" borderId="2" xfId="0" applyNumberFormat="1" applyFont="1" applyBorder="1"/>
    <xf numFmtId="43" fontId="30" fillId="0" borderId="0" xfId="0" applyNumberFormat="1" applyFont="1"/>
    <xf numFmtId="0" fontId="30" fillId="0" borderId="0" xfId="0" applyFont="1"/>
    <xf numFmtId="43" fontId="1" fillId="0" borderId="0" xfId="0" applyNumberFormat="1" applyFont="1" applyAlignment="1">
      <alignment vertical="top"/>
    </xf>
    <xf numFmtId="43" fontId="2" fillId="0" borderId="1" xfId="0" applyNumberFormat="1" applyFont="1" applyBorder="1"/>
    <xf numFmtId="0" fontId="1" fillId="5" borderId="0" xfId="0" applyFont="1" applyFill="1" applyAlignment="1">
      <alignment horizontal="center"/>
    </xf>
    <xf numFmtId="0" fontId="30" fillId="0" borderId="3" xfId="0" applyFont="1" applyBorder="1" applyAlignment="1">
      <alignment horizontal="left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43" fontId="1" fillId="0" borderId="0" xfId="1" applyFont="1" applyFill="1"/>
    <xf numFmtId="43" fontId="1" fillId="0" borderId="2" xfId="1" applyFont="1" applyFill="1" applyBorder="1"/>
    <xf numFmtId="43" fontId="1" fillId="0" borderId="1" xfId="1" applyFont="1" applyFill="1" applyBorder="1"/>
    <xf numFmtId="0" fontId="2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43" fontId="1" fillId="3" borderId="26" xfId="1" applyFont="1" applyFill="1" applyBorder="1"/>
    <xf numFmtId="43" fontId="1" fillId="0" borderId="25" xfId="0" applyNumberFormat="1" applyFont="1" applyBorder="1"/>
    <xf numFmtId="43" fontId="1" fillId="0" borderId="26" xfId="0" applyNumberFormat="1" applyFont="1" applyBorder="1"/>
    <xf numFmtId="43" fontId="1" fillId="0" borderId="26" xfId="0" applyNumberFormat="1" applyFont="1" applyFill="1" applyBorder="1"/>
    <xf numFmtId="43" fontId="1" fillId="0" borderId="26" xfId="1" applyFont="1" applyFill="1" applyBorder="1"/>
    <xf numFmtId="43" fontId="1" fillId="0" borderId="27" xfId="1" applyFont="1" applyFill="1" applyBorder="1"/>
    <xf numFmtId="0" fontId="0" fillId="0" borderId="25" xfId="0" applyFill="1" applyBorder="1"/>
    <xf numFmtId="43" fontId="1" fillId="3" borderId="28" xfId="1" applyFont="1" applyFill="1" applyBorder="1"/>
    <xf numFmtId="43" fontId="1" fillId="0" borderId="27" xfId="0" applyNumberFormat="1" applyFont="1" applyFill="1" applyBorder="1"/>
    <xf numFmtId="0" fontId="0" fillId="0" borderId="29" xfId="0" applyFill="1" applyBorder="1"/>
    <xf numFmtId="0" fontId="1" fillId="0" borderId="30" xfId="0" applyFont="1" applyFill="1" applyBorder="1"/>
    <xf numFmtId="0" fontId="2" fillId="6" borderId="25" xfId="0" applyFont="1" applyFill="1" applyBorder="1"/>
    <xf numFmtId="43" fontId="2" fillId="6" borderId="26" xfId="1" applyFont="1" applyFill="1" applyBorder="1"/>
    <xf numFmtId="0" fontId="0" fillId="0" borderId="0" xfId="0" applyFont="1" applyFill="1" applyBorder="1"/>
    <xf numFmtId="170" fontId="0" fillId="0" borderId="0" xfId="0" applyNumberFormat="1" applyBorder="1" applyAlignment="1">
      <alignment horizontal="left"/>
    </xf>
    <xf numFmtId="170" fontId="0" fillId="0" borderId="10" xfId="0" applyNumberFormat="1" applyBorder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7">
    <cellStyle name="Comma" xfId="1" builtinId="3"/>
    <cellStyle name="Comma 2" xfId="2"/>
    <cellStyle name="Comma 2 2" xfId="10"/>
    <cellStyle name="Comma 3" xfId="3"/>
    <cellStyle name="Comma 3 2" xfId="4"/>
    <cellStyle name="Comma 3 2 2" xfId="12"/>
    <cellStyle name="Comma 3 3" xfId="11"/>
    <cellStyle name="Currency" xfId="5" builtinId="4"/>
    <cellStyle name="Currency 2" xfId="6"/>
    <cellStyle name="Currency 2 2" xfId="7"/>
    <cellStyle name="Currency 2 2 2" xfId="14"/>
    <cellStyle name="Currency 2 3" xfId="13"/>
    <cellStyle name="Hyperlink" xfId="8" builtinId="8"/>
    <cellStyle name="Normal" xfId="0" builtinId="0"/>
    <cellStyle name="Normal 2" xfId="9"/>
    <cellStyle name="Normal 2 2" xfId="15"/>
    <cellStyle name="Percent" xfId="1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awes/Rotary%20treasurer/June%2030,%202010/repor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ion"/>
      <sheetName val="Budget"/>
      <sheetName val="IS"/>
      <sheetName val="Accounts"/>
      <sheetName val="Balance Sheet"/>
      <sheetName val="Surplus-eoy"/>
      <sheetName val="Surplus-boy"/>
      <sheetName val="Cash Roll"/>
      <sheetName val="Bonds"/>
      <sheetName val="Bonds (2)"/>
      <sheetName val="Sch Fund"/>
      <sheetName val="bank rec June"/>
      <sheetName val="Deposits"/>
      <sheetName val="Disbursements"/>
      <sheetName val="Tree Sale"/>
      <sheetName val="Use Tax"/>
      <sheetName val="Vouchers"/>
      <sheetName val="Deposits - Kayanet"/>
      <sheetName val="Disbursements -Kayanet"/>
      <sheetName val="FF Da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12.89</v>
          </cell>
        </row>
      </sheetData>
      <sheetData sheetId="9">
        <row r="23">
          <cell r="H23">
            <v>28.66399999999998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opLeftCell="A31" workbookViewId="0">
      <selection activeCell="I61" sqref="I61:I62"/>
    </sheetView>
  </sheetViews>
  <sheetFormatPr defaultRowHeight="12.75"/>
  <cols>
    <col min="1" max="1" width="40.5703125" style="130" customWidth="1"/>
    <col min="2" max="2" width="12" style="130" customWidth="1"/>
    <col min="3" max="3" width="32" style="130" customWidth="1"/>
    <col min="4" max="4" width="2.140625" style="130" customWidth="1"/>
    <col min="5" max="5" width="21.85546875" style="130" customWidth="1"/>
    <col min="6" max="6" width="9.5703125" style="130" customWidth="1"/>
    <col min="7" max="7" width="12.5703125" style="130" customWidth="1"/>
    <col min="8" max="8" width="12" style="130" customWidth="1"/>
    <col min="9" max="9" width="9.28515625" style="130" bestFit="1" customWidth="1"/>
    <col min="10" max="16384" width="9.140625" style="130"/>
  </cols>
  <sheetData>
    <row r="1" spans="1:7" ht="15.75">
      <c r="A1" s="236" t="s">
        <v>0</v>
      </c>
    </row>
    <row r="2" spans="1:7" ht="16.5" thickBot="1">
      <c r="A2" s="236" t="s">
        <v>58</v>
      </c>
      <c r="B2" s="234" t="s">
        <v>332</v>
      </c>
      <c r="C2" s="153"/>
      <c r="D2" s="181"/>
      <c r="E2" s="151" t="s">
        <v>333</v>
      </c>
      <c r="F2" s="153"/>
      <c r="G2" s="153"/>
    </row>
    <row r="3" spans="1:7" ht="16.5" thickTop="1" thickBot="1">
      <c r="A3" s="153"/>
      <c r="B3" s="235" t="s">
        <v>1</v>
      </c>
      <c r="C3" s="182" t="s">
        <v>334</v>
      </c>
      <c r="D3" s="181"/>
      <c r="E3" s="183" t="s">
        <v>335</v>
      </c>
      <c r="F3" s="184"/>
      <c r="G3" s="153"/>
    </row>
    <row r="4" spans="1:7" ht="15">
      <c r="A4" s="154" t="s">
        <v>336</v>
      </c>
      <c r="B4" s="148"/>
      <c r="C4" s="153"/>
      <c r="D4" s="181"/>
      <c r="E4" s="185" t="s">
        <v>337</v>
      </c>
      <c r="F4" s="186"/>
      <c r="G4" s="153"/>
    </row>
    <row r="5" spans="1:7" ht="14.25">
      <c r="A5" s="146" t="s">
        <v>2</v>
      </c>
      <c r="B5" s="147">
        <v>200</v>
      </c>
      <c r="C5" s="153"/>
      <c r="D5" s="181"/>
      <c r="E5" s="187" t="s">
        <v>338</v>
      </c>
      <c r="F5" s="188">
        <v>125</v>
      </c>
      <c r="G5" s="153"/>
    </row>
    <row r="6" spans="1:7" ht="18" customHeight="1">
      <c r="A6" s="146" t="s">
        <v>227</v>
      </c>
      <c r="B6" s="148"/>
      <c r="C6" s="153"/>
      <c r="D6" s="181"/>
      <c r="E6" s="187" t="s">
        <v>339</v>
      </c>
      <c r="F6" s="189">
        <v>20</v>
      </c>
      <c r="G6" s="153"/>
    </row>
    <row r="7" spans="1:7" ht="14.25">
      <c r="A7" s="146" t="s">
        <v>146</v>
      </c>
      <c r="B7" s="148"/>
      <c r="C7" s="130" t="s">
        <v>340</v>
      </c>
      <c r="D7" s="181"/>
      <c r="E7" s="190" t="s">
        <v>341</v>
      </c>
      <c r="F7" s="188">
        <f>+F6*F5</f>
        <v>2500</v>
      </c>
      <c r="G7" s="153"/>
    </row>
    <row r="8" spans="1:7" ht="14.25">
      <c r="A8" s="146" t="s">
        <v>204</v>
      </c>
      <c r="B8" s="147">
        <v>500</v>
      </c>
      <c r="C8" s="130" t="s">
        <v>342</v>
      </c>
      <c r="D8" s="181"/>
      <c r="E8" s="187" t="s">
        <v>343</v>
      </c>
      <c r="F8" s="191">
        <v>2000</v>
      </c>
      <c r="G8" s="153"/>
    </row>
    <row r="9" spans="1:7" ht="14.25">
      <c r="A9" s="146" t="s">
        <v>89</v>
      </c>
      <c r="B9" s="148"/>
      <c r="C9" s="153"/>
      <c r="D9" s="181"/>
      <c r="E9" s="187" t="s">
        <v>344</v>
      </c>
      <c r="F9" s="188">
        <f>+F8+F7</f>
        <v>4500</v>
      </c>
      <c r="G9" s="153"/>
    </row>
    <row r="10" spans="1:7" ht="14.25">
      <c r="A10" s="146" t="s">
        <v>3</v>
      </c>
      <c r="B10" s="147">
        <f>+'Tree Sale'!D39</f>
        <v>35437.114000000001</v>
      </c>
      <c r="C10" s="153"/>
      <c r="D10" s="181"/>
      <c r="E10" s="190"/>
      <c r="F10" s="192"/>
      <c r="G10" s="153"/>
    </row>
    <row r="11" spans="1:7" ht="15">
      <c r="A11" s="146" t="s">
        <v>312</v>
      </c>
      <c r="B11" s="147">
        <v>1000</v>
      </c>
      <c r="C11" s="153"/>
      <c r="D11" s="181"/>
      <c r="E11" s="185" t="s">
        <v>345</v>
      </c>
      <c r="F11" s="192"/>
      <c r="G11" s="153"/>
    </row>
    <row r="12" spans="1:7" ht="14.25">
      <c r="A12" s="146" t="s">
        <v>231</v>
      </c>
      <c r="B12" s="149">
        <f>10000+F25</f>
        <v>16200</v>
      </c>
      <c r="C12" s="153"/>
      <c r="D12" s="181"/>
      <c r="E12" s="190" t="s">
        <v>346</v>
      </c>
      <c r="F12" s="188">
        <v>1000</v>
      </c>
      <c r="G12" s="153"/>
    </row>
    <row r="13" spans="1:7" ht="14.25">
      <c r="A13" s="146" t="s">
        <v>270</v>
      </c>
      <c r="B13" s="149">
        <f>+F9</f>
        <v>4500</v>
      </c>
      <c r="C13" s="153"/>
      <c r="D13" s="181"/>
      <c r="E13" s="190" t="s">
        <v>347</v>
      </c>
      <c r="F13" s="188">
        <v>700</v>
      </c>
      <c r="G13" s="153"/>
    </row>
    <row r="14" spans="1:7" ht="14.25">
      <c r="A14" s="146" t="s">
        <v>299</v>
      </c>
      <c r="B14" s="150">
        <f>+F33</f>
        <v>8500</v>
      </c>
      <c r="C14" s="153"/>
      <c r="D14" s="181"/>
      <c r="E14" s="190" t="s">
        <v>89</v>
      </c>
      <c r="F14" s="191">
        <v>50</v>
      </c>
      <c r="G14" s="153"/>
    </row>
    <row r="15" spans="1:7" ht="15">
      <c r="A15" s="151" t="s">
        <v>4</v>
      </c>
      <c r="B15" s="152">
        <f>SUM(B5:B14)</f>
        <v>66337.114000000001</v>
      </c>
      <c r="C15" s="153"/>
      <c r="D15" s="181"/>
      <c r="E15" s="190" t="s">
        <v>268</v>
      </c>
      <c r="F15" s="193">
        <f>SUM(F12:F14)</f>
        <v>1750</v>
      </c>
      <c r="G15" s="153"/>
    </row>
    <row r="16" spans="1:7" ht="15.75" thickBot="1">
      <c r="A16" s="153"/>
      <c r="B16" s="148"/>
      <c r="C16" s="153"/>
      <c r="D16" s="181"/>
      <c r="E16" s="194" t="s">
        <v>348</v>
      </c>
      <c r="F16" s="195">
        <f>+F9-F15</f>
        <v>2750</v>
      </c>
      <c r="G16" s="153"/>
    </row>
    <row r="17" spans="1:7" ht="16.5" thickTop="1" thickBot="1">
      <c r="A17" s="154" t="s">
        <v>5</v>
      </c>
      <c r="B17" s="117"/>
      <c r="D17" s="181"/>
      <c r="E17" s="153"/>
      <c r="F17" s="153"/>
      <c r="G17" s="172"/>
    </row>
    <row r="18" spans="1:7" ht="15.75" thickTop="1">
      <c r="A18" s="154" t="s">
        <v>313</v>
      </c>
      <c r="B18" s="117"/>
      <c r="D18" s="181"/>
      <c r="E18" s="196" t="s">
        <v>330</v>
      </c>
      <c r="F18" s="197"/>
      <c r="G18" s="198"/>
    </row>
    <row r="19" spans="1:7" ht="14.25">
      <c r="A19" s="146" t="s">
        <v>134</v>
      </c>
      <c r="B19" s="155">
        <v>0</v>
      </c>
      <c r="C19" s="130" t="s">
        <v>349</v>
      </c>
      <c r="D19" s="181"/>
      <c r="E19" s="199" t="s">
        <v>347</v>
      </c>
      <c r="F19" s="200">
        <v>500</v>
      </c>
      <c r="G19" s="201"/>
    </row>
    <row r="20" spans="1:7" ht="14.25">
      <c r="A20" s="146" t="s">
        <v>26</v>
      </c>
      <c r="B20" s="155">
        <v>50</v>
      </c>
      <c r="C20" s="153"/>
      <c r="D20" s="181"/>
      <c r="E20" s="199" t="s">
        <v>350</v>
      </c>
      <c r="F20" s="200"/>
      <c r="G20" s="202" t="s">
        <v>351</v>
      </c>
    </row>
    <row r="21" spans="1:7" ht="14.25">
      <c r="A21" s="146" t="s">
        <v>53</v>
      </c>
      <c r="B21" s="155">
        <v>100</v>
      </c>
      <c r="C21" s="153"/>
      <c r="D21" s="181"/>
      <c r="E21" s="199" t="s">
        <v>352</v>
      </c>
      <c r="F21" s="200">
        <v>300</v>
      </c>
      <c r="G21" s="201"/>
    </row>
    <row r="22" spans="1:7" ht="14.25">
      <c r="A22" s="146" t="s">
        <v>143</v>
      </c>
      <c r="B22" s="155">
        <v>1250</v>
      </c>
      <c r="C22" s="130" t="s">
        <v>353</v>
      </c>
      <c r="D22" s="181"/>
      <c r="E22" s="199" t="s">
        <v>354</v>
      </c>
      <c r="F22" s="200">
        <v>150</v>
      </c>
      <c r="G22" s="201"/>
    </row>
    <row r="23" spans="1:7" ht="14.25">
      <c r="A23" s="146" t="s">
        <v>6</v>
      </c>
      <c r="B23" s="155">
        <f>4200</f>
        <v>4200</v>
      </c>
      <c r="C23" s="130" t="s">
        <v>355</v>
      </c>
      <c r="D23" s="181"/>
      <c r="E23" s="199" t="s">
        <v>356</v>
      </c>
      <c r="F23" s="200">
        <v>5000</v>
      </c>
      <c r="G23" s="201"/>
    </row>
    <row r="24" spans="1:7" ht="14.25">
      <c r="A24" s="146" t="s">
        <v>7</v>
      </c>
      <c r="B24" s="155">
        <v>5000</v>
      </c>
      <c r="D24" s="181"/>
      <c r="E24" s="199" t="s">
        <v>357</v>
      </c>
      <c r="F24" s="203">
        <v>250</v>
      </c>
      <c r="G24" s="201"/>
    </row>
    <row r="25" spans="1:7" ht="15.75" thickBot="1">
      <c r="A25" s="146" t="s">
        <v>314</v>
      </c>
      <c r="B25" s="155">
        <v>4000</v>
      </c>
      <c r="D25" s="181"/>
      <c r="E25" s="204" t="s">
        <v>268</v>
      </c>
      <c r="F25" s="205">
        <f>SUM(F19:F24)</f>
        <v>6200</v>
      </c>
      <c r="G25" s="206"/>
    </row>
    <row r="26" spans="1:7" ht="15.75" thickTop="1" thickBot="1">
      <c r="A26" s="146"/>
      <c r="B26" s="147"/>
      <c r="D26" s="181"/>
      <c r="E26" s="153"/>
      <c r="F26" s="153"/>
      <c r="G26" s="153"/>
    </row>
    <row r="27" spans="1:7" ht="15.75" thickTop="1">
      <c r="A27" s="151" t="s">
        <v>315</v>
      </c>
      <c r="D27" s="181"/>
      <c r="E27" s="207" t="s">
        <v>358</v>
      </c>
      <c r="F27" s="246" t="s">
        <v>359</v>
      </c>
      <c r="G27" s="208"/>
    </row>
    <row r="28" spans="1:7" ht="14.25">
      <c r="A28" s="146" t="s">
        <v>147</v>
      </c>
      <c r="B28" s="156">
        <v>400</v>
      </c>
      <c r="C28" s="130" t="s">
        <v>360</v>
      </c>
      <c r="D28" s="181"/>
      <c r="E28" s="209" t="s">
        <v>361</v>
      </c>
      <c r="F28" s="279">
        <v>41483</v>
      </c>
      <c r="G28" s="280"/>
    </row>
    <row r="29" spans="1:7" ht="14.25">
      <c r="A29" s="146" t="s">
        <v>54</v>
      </c>
      <c r="B29" s="156">
        <v>7000</v>
      </c>
      <c r="D29" s="181"/>
      <c r="E29" s="209" t="s">
        <v>362</v>
      </c>
      <c r="F29" s="279">
        <v>41374</v>
      </c>
      <c r="G29" s="280"/>
    </row>
    <row r="30" spans="1:7" ht="15">
      <c r="A30" s="146" t="s">
        <v>98</v>
      </c>
      <c r="B30" s="156">
        <f>3000+2800</f>
        <v>5800</v>
      </c>
      <c r="C30" s="153"/>
      <c r="D30" s="181"/>
      <c r="E30" s="210" t="s">
        <v>363</v>
      </c>
      <c r="F30" s="211" t="s">
        <v>1</v>
      </c>
      <c r="G30" s="212" t="s">
        <v>364</v>
      </c>
    </row>
    <row r="31" spans="1:7" ht="14.25">
      <c r="A31" s="146" t="s">
        <v>316</v>
      </c>
      <c r="B31" s="156">
        <f>500+400</f>
        <v>900</v>
      </c>
      <c r="D31" s="181"/>
      <c r="E31" s="199" t="s">
        <v>365</v>
      </c>
      <c r="F31" s="137">
        <v>4500</v>
      </c>
      <c r="G31" s="202"/>
    </row>
    <row r="32" spans="1:7" ht="25.5">
      <c r="A32" s="146" t="s">
        <v>13</v>
      </c>
      <c r="B32" s="156">
        <v>250</v>
      </c>
      <c r="C32" s="153"/>
      <c r="D32" s="181"/>
      <c r="E32" s="199" t="s">
        <v>366</v>
      </c>
      <c r="F32" s="65">
        <v>4000</v>
      </c>
      <c r="G32" s="213" t="s">
        <v>367</v>
      </c>
    </row>
    <row r="33" spans="1:7" ht="25.5">
      <c r="A33" s="157" t="s">
        <v>10</v>
      </c>
      <c r="B33" s="158">
        <f>5000+2890.61-750-2000-147.5</f>
        <v>4993.1100000000006</v>
      </c>
      <c r="C33" s="139" t="s">
        <v>368</v>
      </c>
      <c r="D33" s="181"/>
      <c r="E33" s="209" t="s">
        <v>369</v>
      </c>
      <c r="F33" s="137">
        <f>SUM(F31:F32)</f>
        <v>8500</v>
      </c>
      <c r="G33" s="202"/>
    </row>
    <row r="34" spans="1:7" ht="14.25">
      <c r="A34" s="146" t="s">
        <v>210</v>
      </c>
      <c r="B34" s="156">
        <v>0</v>
      </c>
      <c r="C34" s="130" t="s">
        <v>370</v>
      </c>
      <c r="D34" s="181"/>
      <c r="E34" s="209"/>
      <c r="F34" s="137"/>
      <c r="G34" s="202"/>
    </row>
    <row r="35" spans="1:7" ht="15">
      <c r="A35" s="146" t="s">
        <v>55</v>
      </c>
      <c r="B35" s="156">
        <v>1100</v>
      </c>
      <c r="C35" s="153"/>
      <c r="D35" s="181"/>
      <c r="E35" s="210" t="s">
        <v>345</v>
      </c>
      <c r="F35" s="137"/>
      <c r="G35" s="214" t="s">
        <v>364</v>
      </c>
    </row>
    <row r="36" spans="1:7" ht="14.25">
      <c r="A36" s="146" t="s">
        <v>25</v>
      </c>
      <c r="B36" s="156">
        <v>650</v>
      </c>
      <c r="C36" s="153"/>
      <c r="D36" s="181"/>
      <c r="E36" s="199" t="s">
        <v>371</v>
      </c>
      <c r="F36" s="137">
        <v>300</v>
      </c>
      <c r="G36" s="202" t="s">
        <v>372</v>
      </c>
    </row>
    <row r="37" spans="1:7" ht="14.25">
      <c r="A37" s="146" t="s">
        <v>299</v>
      </c>
      <c r="B37" s="156">
        <f>+F41</f>
        <v>4500</v>
      </c>
      <c r="C37" s="153"/>
      <c r="D37" s="181"/>
      <c r="E37" s="190" t="s">
        <v>373</v>
      </c>
      <c r="F37" s="137">
        <v>500</v>
      </c>
      <c r="G37" s="202"/>
    </row>
    <row r="38" spans="1:7" ht="14.25">
      <c r="A38" s="146" t="s">
        <v>133</v>
      </c>
      <c r="B38" s="156">
        <v>2000</v>
      </c>
      <c r="C38" s="153"/>
      <c r="D38" s="181"/>
      <c r="E38" s="199" t="s">
        <v>374</v>
      </c>
      <c r="F38" s="137">
        <v>2100</v>
      </c>
      <c r="G38" s="202" t="s">
        <v>372</v>
      </c>
    </row>
    <row r="39" spans="1:7" ht="14.25">
      <c r="A39" s="146" t="s">
        <v>269</v>
      </c>
      <c r="B39" s="156">
        <f>+F15</f>
        <v>1750</v>
      </c>
      <c r="C39" s="153"/>
      <c r="D39" s="181"/>
      <c r="E39" s="199" t="s">
        <v>59</v>
      </c>
      <c r="F39" s="137">
        <v>0</v>
      </c>
      <c r="G39" s="202" t="s">
        <v>372</v>
      </c>
    </row>
    <row r="40" spans="1:7" ht="14.25">
      <c r="A40" s="146" t="s">
        <v>412</v>
      </c>
      <c r="B40" s="159">
        <f>+F16</f>
        <v>2750</v>
      </c>
      <c r="C40" s="153"/>
      <c r="D40" s="181"/>
      <c r="E40" s="190" t="s">
        <v>375</v>
      </c>
      <c r="F40" s="137">
        <v>1600</v>
      </c>
      <c r="G40" s="202" t="s">
        <v>376</v>
      </c>
    </row>
    <row r="41" spans="1:7" ht="14.25">
      <c r="A41" s="146" t="s">
        <v>8</v>
      </c>
      <c r="B41" s="156">
        <v>0</v>
      </c>
      <c r="C41" s="153"/>
      <c r="D41" s="181"/>
      <c r="E41" s="209" t="s">
        <v>377</v>
      </c>
      <c r="F41" s="215">
        <f>SUM(F36:F40)</f>
        <v>4500</v>
      </c>
      <c r="G41" s="202"/>
    </row>
    <row r="42" spans="1:7" ht="15" thickBot="1">
      <c r="A42" s="146" t="s">
        <v>318</v>
      </c>
      <c r="B42" s="159">
        <f>+F25</f>
        <v>6200</v>
      </c>
      <c r="C42" s="153"/>
      <c r="D42" s="181"/>
      <c r="E42" s="209" t="s">
        <v>378</v>
      </c>
      <c r="F42" s="92">
        <f>F33-F41</f>
        <v>4000</v>
      </c>
      <c r="G42" s="202"/>
    </row>
    <row r="43" spans="1:7" ht="15" thickTop="1">
      <c r="A43" s="146" t="s">
        <v>319</v>
      </c>
      <c r="B43" s="159">
        <f>1000+400</f>
        <v>1400</v>
      </c>
      <c r="C43" s="153"/>
      <c r="D43" s="181"/>
      <c r="E43" s="209"/>
      <c r="F43" s="137"/>
      <c r="G43" s="202"/>
    </row>
    <row r="44" spans="1:7" ht="14.25">
      <c r="D44" s="181"/>
      <c r="E44" s="216" t="s">
        <v>379</v>
      </c>
      <c r="F44" s="137"/>
      <c r="G44" s="202"/>
    </row>
    <row r="45" spans="1:7" ht="15">
      <c r="A45" s="151" t="s">
        <v>62</v>
      </c>
      <c r="C45" s="153"/>
      <c r="D45" s="181"/>
      <c r="E45" s="217" t="s">
        <v>380</v>
      </c>
      <c r="F45" s="137">
        <f>+F42*0.7</f>
        <v>2800</v>
      </c>
      <c r="G45" s="202"/>
    </row>
    <row r="46" spans="1:7" ht="14.25">
      <c r="A46" s="146" t="s">
        <v>12</v>
      </c>
      <c r="B46" s="160">
        <v>6000</v>
      </c>
      <c r="C46" s="153"/>
      <c r="D46" s="181"/>
      <c r="E46" s="217" t="s">
        <v>381</v>
      </c>
      <c r="F46" s="137">
        <f>+F42*0.1</f>
        <v>400</v>
      </c>
      <c r="G46" s="202"/>
    </row>
    <row r="47" spans="1:7" ht="14.25">
      <c r="A47" s="146" t="s">
        <v>320</v>
      </c>
      <c r="B47" s="160">
        <f>500</f>
        <v>500</v>
      </c>
      <c r="C47" s="130" t="s">
        <v>342</v>
      </c>
      <c r="D47" s="181"/>
      <c r="E47" s="217" t="s">
        <v>382</v>
      </c>
      <c r="F47" s="137">
        <f>+F42*0.1</f>
        <v>400</v>
      </c>
      <c r="G47" s="202"/>
    </row>
    <row r="48" spans="1:7" ht="14.25">
      <c r="A48" s="146" t="s">
        <v>135</v>
      </c>
      <c r="B48" s="160">
        <v>2000</v>
      </c>
      <c r="C48" s="153"/>
      <c r="D48" s="181"/>
      <c r="E48" s="217" t="s">
        <v>383</v>
      </c>
      <c r="F48" s="65">
        <f>+F42*0.1</f>
        <v>400</v>
      </c>
      <c r="G48" s="202"/>
    </row>
    <row r="49" spans="1:10" ht="15" thickBot="1">
      <c r="A49" s="146" t="s">
        <v>11</v>
      </c>
      <c r="B49" s="160">
        <v>0</v>
      </c>
      <c r="C49" s="130" t="s">
        <v>384</v>
      </c>
      <c r="D49" s="181"/>
      <c r="E49" s="218" t="s">
        <v>385</v>
      </c>
      <c r="F49" s="219">
        <f>SUM(F45:F48)</f>
        <v>4000</v>
      </c>
      <c r="G49" s="220"/>
    </row>
    <row r="50" spans="1:10" ht="15.75" thickTop="1" thickBot="1">
      <c r="A50" s="146" t="s">
        <v>9</v>
      </c>
      <c r="B50" s="161">
        <f>ROUND(+B10*0.1,0)</f>
        <v>3544</v>
      </c>
      <c r="C50" s="153"/>
      <c r="D50" s="181"/>
    </row>
    <row r="51" spans="1:10" ht="15.75" thickTop="1">
      <c r="A51" s="153" t="s">
        <v>14</v>
      </c>
      <c r="B51" s="162">
        <f>SUM(B19:B50)</f>
        <v>66337.11</v>
      </c>
      <c r="C51" s="153"/>
      <c r="D51" s="181"/>
      <c r="E51" s="196" t="s">
        <v>386</v>
      </c>
      <c r="F51" s="208"/>
      <c r="J51" s="131"/>
    </row>
    <row r="52" spans="1:10" ht="15.75" thickBot="1">
      <c r="A52" s="153" t="s">
        <v>321</v>
      </c>
      <c r="B52" s="163">
        <f>+B15-B51</f>
        <v>4.0000000008149073E-3</v>
      </c>
      <c r="C52" s="153"/>
      <c r="D52" s="181"/>
      <c r="E52" s="199" t="s">
        <v>387</v>
      </c>
      <c r="F52" s="201"/>
    </row>
    <row r="53" spans="1:10" ht="13.5" thickTop="1">
      <c r="A53" s="148"/>
      <c r="B53" s="148"/>
      <c r="C53" s="153"/>
      <c r="D53" s="181"/>
      <c r="E53" s="199" t="s">
        <v>388</v>
      </c>
      <c r="F53" s="201"/>
    </row>
    <row r="54" spans="1:10">
      <c r="A54" s="1"/>
      <c r="B54" s="148"/>
      <c r="C54" s="153"/>
      <c r="D54" s="181"/>
      <c r="E54" s="199" t="s">
        <v>285</v>
      </c>
      <c r="F54" s="201"/>
    </row>
    <row r="55" spans="1:10">
      <c r="A55" s="164"/>
      <c r="B55" s="165"/>
      <c r="C55" s="165"/>
      <c r="D55" s="181"/>
      <c r="E55" s="199" t="s">
        <v>296</v>
      </c>
      <c r="F55" s="201"/>
    </row>
    <row r="56" spans="1:10" ht="15.75" thickBot="1">
      <c r="A56" s="166" t="s">
        <v>322</v>
      </c>
      <c r="B56" s="167" t="s">
        <v>323</v>
      </c>
      <c r="C56" s="221" t="s">
        <v>389</v>
      </c>
      <c r="D56" s="181"/>
      <c r="E56" s="222" t="s">
        <v>390</v>
      </c>
      <c r="F56" s="206"/>
    </row>
    <row r="57" spans="1:10" ht="13.5" thickBot="1">
      <c r="A57" s="116" t="s">
        <v>313</v>
      </c>
      <c r="B57" s="132">
        <f>SUM(B19:B25)</f>
        <v>14600</v>
      </c>
      <c r="C57" s="223">
        <f>+B57/$B$60</f>
        <v>0.22008797187577209</v>
      </c>
      <c r="D57" s="181"/>
      <c r="E57" s="153"/>
      <c r="F57" s="153"/>
      <c r="G57" s="153"/>
    </row>
    <row r="58" spans="1:10" ht="39" thickTop="1">
      <c r="A58" s="168" t="s">
        <v>315</v>
      </c>
      <c r="B58" s="132">
        <f>SUM(B28:B43)</f>
        <v>39693.11</v>
      </c>
      <c r="C58" s="223">
        <f>+B58/$B$60</f>
        <v>0.59835452584533755</v>
      </c>
      <c r="D58" s="181"/>
      <c r="E58" s="224" t="s">
        <v>379</v>
      </c>
      <c r="F58" s="225" t="s">
        <v>391</v>
      </c>
      <c r="G58" s="226" t="s">
        <v>392</v>
      </c>
      <c r="H58" s="227" t="s">
        <v>393</v>
      </c>
      <c r="I58" s="244" t="s">
        <v>411</v>
      </c>
    </row>
    <row r="59" spans="1:10">
      <c r="A59" s="169" t="s">
        <v>62</v>
      </c>
      <c r="B59" s="170">
        <f>SUM(B46:B50)</f>
        <v>12044</v>
      </c>
      <c r="C59" s="223">
        <f>+B59/$B$60</f>
        <v>0.18155750227889036</v>
      </c>
      <c r="D59" s="181"/>
      <c r="E59" s="217" t="s">
        <v>380</v>
      </c>
      <c r="F59" s="200">
        <f>+F45</f>
        <v>2800</v>
      </c>
      <c r="G59" s="200">
        <f>+B30</f>
        <v>5800</v>
      </c>
      <c r="H59" s="228">
        <f>+G59-F59</f>
        <v>3000</v>
      </c>
      <c r="I59" s="136">
        <f>ROUND(+I63*0.7,2)-0.01</f>
        <v>3604.1899999999996</v>
      </c>
    </row>
    <row r="60" spans="1:10" ht="13.5" thickBot="1">
      <c r="A60" s="153"/>
      <c r="B60" s="171">
        <f>SUM(B57:B59)</f>
        <v>66337.11</v>
      </c>
      <c r="C60" s="229"/>
      <c r="D60" s="181"/>
      <c r="E60" s="217" t="s">
        <v>381</v>
      </c>
      <c r="F60" s="200">
        <f>+F46</f>
        <v>400</v>
      </c>
      <c r="G60" s="200">
        <f>+B31</f>
        <v>900</v>
      </c>
      <c r="H60" s="228">
        <f t="shared" ref="H60:H62" si="0">+G60-F60</f>
        <v>500</v>
      </c>
      <c r="I60" s="136">
        <f>+$I$63*0.1</f>
        <v>514.8850000000001</v>
      </c>
    </row>
    <row r="61" spans="1:10" ht="13.5" thickTop="1">
      <c r="A61" s="172"/>
      <c r="B61" s="153"/>
      <c r="C61" s="153"/>
      <c r="D61" s="181"/>
      <c r="E61" s="217" t="s">
        <v>382</v>
      </c>
      <c r="F61" s="200">
        <f>+F47</f>
        <v>400</v>
      </c>
      <c r="G61" s="200">
        <v>0</v>
      </c>
      <c r="H61" s="228">
        <f t="shared" si="0"/>
        <v>-400</v>
      </c>
      <c r="I61" s="136">
        <f t="shared" ref="I61:I62" si="1">+$I$63*0.1</f>
        <v>514.8850000000001</v>
      </c>
    </row>
    <row r="62" spans="1:10">
      <c r="A62" s="153"/>
      <c r="B62" s="148"/>
      <c r="C62" s="153"/>
      <c r="D62" s="181"/>
      <c r="E62" s="217" t="s">
        <v>383</v>
      </c>
      <c r="F62" s="203">
        <f>+F48</f>
        <v>400</v>
      </c>
      <c r="G62" s="203">
        <v>0</v>
      </c>
      <c r="H62" s="230">
        <f t="shared" si="0"/>
        <v>-400</v>
      </c>
      <c r="I62" s="245">
        <f t="shared" si="1"/>
        <v>514.8850000000001</v>
      </c>
    </row>
    <row r="63" spans="1:10" ht="13.5" thickBot="1">
      <c r="A63" s="153"/>
      <c r="B63" s="148"/>
      <c r="C63" s="153"/>
      <c r="D63" s="181"/>
      <c r="E63" s="218" t="s">
        <v>385</v>
      </c>
      <c r="F63" s="231">
        <f>+F49</f>
        <v>4000</v>
      </c>
      <c r="G63" s="231">
        <f>SUM(G59:G62)</f>
        <v>6700</v>
      </c>
      <c r="H63" s="232">
        <f>SUM(H59:H62)</f>
        <v>2700</v>
      </c>
      <c r="I63" s="136">
        <v>5148.8500000000004</v>
      </c>
    </row>
    <row r="64" spans="1:10" ht="15" thickTop="1">
      <c r="A64" s="146"/>
      <c r="B64" s="148"/>
      <c r="C64" s="153"/>
      <c r="D64" s="181"/>
      <c r="E64" s="153"/>
      <c r="F64" s="153"/>
      <c r="G64" s="153"/>
      <c r="I64" s="136"/>
    </row>
    <row r="65" spans="1:9">
      <c r="A65" s="153"/>
      <c r="B65" s="148"/>
      <c r="C65" s="153"/>
      <c r="D65" s="181"/>
      <c r="E65" s="153"/>
      <c r="F65" s="153"/>
      <c r="G65" s="153"/>
      <c r="I65" s="136"/>
    </row>
    <row r="66" spans="1:9" ht="14.25">
      <c r="A66" s="146"/>
      <c r="B66" s="148"/>
      <c r="C66" s="153"/>
      <c r="D66" s="153"/>
      <c r="E66" s="153"/>
      <c r="F66" s="153"/>
      <c r="G66" s="153"/>
      <c r="I66" s="136"/>
    </row>
    <row r="67" spans="1:9">
      <c r="C67" s="153"/>
      <c r="D67" s="153"/>
      <c r="E67" s="153"/>
      <c r="F67" s="153"/>
      <c r="G67" s="153"/>
      <c r="I67" s="132"/>
    </row>
    <row r="68" spans="1:9">
      <c r="C68" s="153"/>
      <c r="D68" s="153"/>
      <c r="E68" s="153"/>
      <c r="F68" s="153"/>
      <c r="G68" s="153"/>
    </row>
    <row r="69" spans="1:9">
      <c r="C69" s="153"/>
      <c r="D69" s="153"/>
      <c r="E69" s="153"/>
      <c r="F69" s="153"/>
      <c r="G69" s="153"/>
    </row>
    <row r="70" spans="1:9">
      <c r="C70" s="153"/>
      <c r="D70" s="153"/>
      <c r="E70" s="153"/>
      <c r="F70" s="153"/>
      <c r="G70" s="153"/>
    </row>
    <row r="71" spans="1:9">
      <c r="C71" s="153"/>
      <c r="D71" s="153"/>
      <c r="E71" s="153"/>
      <c r="F71" s="153"/>
      <c r="G71" s="153"/>
    </row>
    <row r="72" spans="1:9">
      <c r="C72" s="153"/>
      <c r="D72" s="153"/>
      <c r="E72" s="153"/>
      <c r="F72" s="153"/>
      <c r="G72" s="153"/>
    </row>
    <row r="73" spans="1:9">
      <c r="A73" s="153"/>
      <c r="B73" s="137">
        <f>+F50</f>
        <v>0</v>
      </c>
      <c r="C73" s="153"/>
      <c r="D73" s="153"/>
      <c r="E73" s="153"/>
      <c r="F73" s="153"/>
      <c r="G73" s="153"/>
    </row>
    <row r="74" spans="1:9">
      <c r="A74" s="153"/>
      <c r="B74" s="137">
        <f>+F51</f>
        <v>0</v>
      </c>
      <c r="C74" s="153"/>
      <c r="D74" s="153"/>
      <c r="E74" s="153"/>
      <c r="F74" s="153"/>
      <c r="G74" s="153"/>
    </row>
    <row r="75" spans="1:9">
      <c r="A75" s="153"/>
      <c r="B75" s="148"/>
      <c r="C75" s="153"/>
      <c r="D75" s="153"/>
      <c r="E75" s="153"/>
      <c r="F75" s="153"/>
      <c r="G75" s="153"/>
    </row>
    <row r="76" spans="1:9">
      <c r="A76" s="153"/>
      <c r="B76" s="148"/>
      <c r="C76" s="153"/>
      <c r="D76" s="153"/>
      <c r="E76" s="153"/>
      <c r="F76" s="153"/>
      <c r="G76" s="153"/>
    </row>
    <row r="77" spans="1:9">
      <c r="A77" s="153"/>
      <c r="B77" s="148"/>
      <c r="C77" s="153"/>
      <c r="D77" s="153"/>
      <c r="E77" s="153"/>
      <c r="F77" s="153"/>
      <c r="G77" s="153"/>
    </row>
    <row r="78" spans="1:9">
      <c r="A78" s="153"/>
      <c r="B78" s="148"/>
      <c r="C78" s="153"/>
      <c r="D78" s="153"/>
      <c r="E78" s="153"/>
      <c r="F78" s="153"/>
      <c r="G78" s="153"/>
    </row>
    <row r="79" spans="1:9">
      <c r="A79" s="153"/>
      <c r="B79" s="148"/>
      <c r="C79" s="153"/>
      <c r="D79" s="153"/>
      <c r="E79" s="153"/>
      <c r="F79" s="153"/>
      <c r="G79" s="153"/>
    </row>
    <row r="80" spans="1:9">
      <c r="A80" s="153"/>
      <c r="B80" s="148"/>
      <c r="C80" s="153"/>
      <c r="D80" s="153"/>
      <c r="E80" s="153"/>
      <c r="F80" s="153"/>
      <c r="G80" s="153"/>
    </row>
    <row r="81" spans="1:7">
      <c r="A81" s="153"/>
      <c r="B81" s="148"/>
      <c r="C81" s="153"/>
      <c r="D81" s="153"/>
      <c r="E81" s="153"/>
      <c r="F81" s="153"/>
      <c r="G81" s="153"/>
    </row>
    <row r="82" spans="1:7">
      <c r="A82" s="153"/>
      <c r="B82" s="148"/>
      <c r="C82" s="153"/>
      <c r="D82" s="153"/>
      <c r="E82" s="153"/>
      <c r="F82" s="153"/>
      <c r="G82" s="153"/>
    </row>
    <row r="83" spans="1:7">
      <c r="A83" s="153"/>
      <c r="B83" s="148"/>
      <c r="C83" s="153"/>
      <c r="D83" s="153"/>
      <c r="E83" s="153"/>
      <c r="F83" s="153"/>
      <c r="G83" s="153"/>
    </row>
    <row r="84" spans="1:7" ht="14.25">
      <c r="A84" s="146"/>
      <c r="B84" s="148"/>
      <c r="C84" s="153"/>
      <c r="D84" s="153"/>
      <c r="E84" s="153"/>
      <c r="F84" s="153"/>
      <c r="G84" s="153"/>
    </row>
    <row r="85" spans="1:7" ht="14.25">
      <c r="A85" s="146"/>
      <c r="B85" s="148"/>
      <c r="C85" s="153"/>
      <c r="D85" s="153"/>
      <c r="E85" s="153"/>
      <c r="F85" s="153"/>
      <c r="G85" s="153"/>
    </row>
    <row r="86" spans="1:7" ht="15">
      <c r="A86" s="151"/>
      <c r="B86" s="148"/>
      <c r="C86" s="153"/>
      <c r="D86" s="153"/>
      <c r="E86" s="153"/>
      <c r="F86" s="153"/>
      <c r="G86" s="153"/>
    </row>
    <row r="87" spans="1:7">
      <c r="A87" s="153"/>
      <c r="B87" s="148"/>
      <c r="C87" s="153"/>
      <c r="D87" s="153"/>
      <c r="E87" s="153"/>
      <c r="F87" s="153"/>
      <c r="G87" s="153"/>
    </row>
    <row r="88" spans="1:7">
      <c r="A88" s="153"/>
      <c r="B88" s="148"/>
      <c r="C88" s="153"/>
      <c r="D88" s="153"/>
      <c r="E88" s="153"/>
      <c r="F88" s="153"/>
      <c r="G88" s="153"/>
    </row>
    <row r="89" spans="1:7" ht="15">
      <c r="A89" s="151"/>
      <c r="B89" s="148"/>
      <c r="C89" s="153"/>
      <c r="D89" s="153"/>
      <c r="E89" s="153"/>
      <c r="F89" s="153"/>
      <c r="G89" s="153"/>
    </row>
    <row r="90" spans="1:7">
      <c r="A90" s="153"/>
      <c r="B90" s="148"/>
      <c r="C90" s="153"/>
      <c r="D90" s="153"/>
      <c r="E90" s="153"/>
      <c r="F90" s="153"/>
      <c r="G90" s="153"/>
    </row>
    <row r="91" spans="1:7">
      <c r="A91" s="153"/>
      <c r="B91" s="148"/>
      <c r="C91" s="153"/>
      <c r="D91" s="153"/>
      <c r="E91" s="153"/>
      <c r="F91" s="153"/>
      <c r="G91" s="153"/>
    </row>
    <row r="92" spans="1:7">
      <c r="A92" s="153"/>
      <c r="B92" s="148"/>
      <c r="C92" s="153"/>
      <c r="D92" s="153"/>
      <c r="E92" s="153"/>
      <c r="F92" s="153"/>
      <c r="G92" s="153"/>
    </row>
    <row r="93" spans="1:7">
      <c r="A93" s="153"/>
      <c r="B93" s="148"/>
      <c r="C93" s="153"/>
      <c r="D93" s="153"/>
      <c r="E93" s="153"/>
      <c r="F93" s="153"/>
      <c r="G93" s="153"/>
    </row>
    <row r="94" spans="1:7" ht="14.25">
      <c r="A94" s="146"/>
      <c r="B94" s="148"/>
      <c r="C94" s="153"/>
      <c r="D94" s="153"/>
      <c r="E94" s="153"/>
      <c r="F94" s="153"/>
      <c r="G94" s="153"/>
    </row>
    <row r="95" spans="1:7" ht="14.25">
      <c r="A95" s="146"/>
      <c r="B95" s="148"/>
      <c r="C95" s="153"/>
      <c r="D95" s="153"/>
      <c r="E95" s="153"/>
      <c r="F95" s="153"/>
      <c r="G95" s="153"/>
    </row>
    <row r="96" spans="1:7" ht="14.25">
      <c r="A96" s="146"/>
      <c r="B96" s="148"/>
      <c r="C96" s="153"/>
      <c r="D96" s="153"/>
      <c r="E96" s="153"/>
      <c r="F96" s="153"/>
      <c r="G96" s="153"/>
    </row>
    <row r="97" spans="1:7" ht="15">
      <c r="A97" s="151"/>
      <c r="B97" s="148"/>
      <c r="C97" s="153"/>
      <c r="D97" s="153"/>
      <c r="E97" s="153"/>
      <c r="F97" s="153"/>
      <c r="G97" s="153"/>
    </row>
    <row r="98" spans="1:7">
      <c r="A98" s="153"/>
      <c r="B98" s="148"/>
      <c r="C98" s="153"/>
      <c r="D98" s="153"/>
      <c r="E98" s="153"/>
      <c r="F98" s="153"/>
      <c r="G98" s="153"/>
    </row>
    <row r="99" spans="1:7">
      <c r="A99" s="153"/>
      <c r="B99" s="148"/>
      <c r="C99" s="153"/>
      <c r="D99" s="153"/>
      <c r="E99" s="153"/>
      <c r="F99" s="153"/>
      <c r="G99" s="153"/>
    </row>
    <row r="100" spans="1:7" ht="15">
      <c r="A100" s="151"/>
      <c r="B100" s="148"/>
      <c r="C100" s="153"/>
      <c r="D100" s="153"/>
      <c r="E100" s="153"/>
      <c r="F100" s="153"/>
      <c r="G100" s="153"/>
    </row>
    <row r="101" spans="1:7" ht="14.25">
      <c r="A101" s="146"/>
      <c r="B101" s="148"/>
      <c r="C101" s="153"/>
      <c r="D101" s="153"/>
      <c r="E101" s="153"/>
      <c r="F101" s="153"/>
      <c r="G101" s="153"/>
    </row>
    <row r="102" spans="1:7" ht="14.25">
      <c r="A102" s="146"/>
      <c r="B102" s="148"/>
      <c r="C102" s="153"/>
      <c r="D102" s="153"/>
      <c r="E102" s="153"/>
      <c r="F102" s="153"/>
      <c r="G102" s="153"/>
    </row>
    <row r="103" spans="1:7" ht="14.25">
      <c r="A103" s="146"/>
      <c r="B103" s="148"/>
      <c r="C103" s="153"/>
      <c r="D103" s="153"/>
      <c r="E103" s="153"/>
      <c r="F103" s="153"/>
      <c r="G103" s="153"/>
    </row>
    <row r="104" spans="1:7" ht="15">
      <c r="A104" s="154"/>
      <c r="B104" s="148"/>
      <c r="C104" s="153"/>
      <c r="D104" s="153"/>
      <c r="E104" s="153"/>
      <c r="F104" s="153"/>
      <c r="G104" s="153"/>
    </row>
    <row r="105" spans="1:7">
      <c r="A105" s="153"/>
      <c r="B105" s="148"/>
      <c r="C105" s="153"/>
      <c r="D105" s="153"/>
      <c r="E105" s="153"/>
      <c r="F105" s="153"/>
      <c r="G105" s="153"/>
    </row>
    <row r="106" spans="1:7">
      <c r="A106" s="153"/>
      <c r="B106" s="148"/>
      <c r="C106" s="153"/>
      <c r="D106" s="153"/>
      <c r="E106" s="153"/>
      <c r="F106" s="153"/>
      <c r="G106" s="153"/>
    </row>
    <row r="107" spans="1:7">
      <c r="A107" s="153"/>
      <c r="B107" s="148"/>
      <c r="C107" s="153"/>
      <c r="D107" s="153"/>
      <c r="E107" s="153"/>
      <c r="F107" s="153"/>
      <c r="G107" s="153"/>
    </row>
    <row r="108" spans="1:7" ht="14.25">
      <c r="A108" s="233"/>
      <c r="B108" s="148"/>
      <c r="C108" s="153"/>
      <c r="D108" s="153"/>
      <c r="E108" s="153"/>
      <c r="F108" s="153"/>
      <c r="G108" s="153"/>
    </row>
    <row r="109" spans="1:7" ht="14.25">
      <c r="A109" s="233"/>
      <c r="B109" s="148"/>
      <c r="C109" s="153"/>
      <c r="D109" s="153"/>
      <c r="E109" s="153"/>
      <c r="F109" s="153"/>
      <c r="G109" s="153"/>
    </row>
    <row r="110" spans="1:7" ht="14.25">
      <c r="A110" s="146"/>
      <c r="B110" s="148"/>
      <c r="C110" s="153"/>
      <c r="D110" s="153"/>
      <c r="E110" s="153"/>
      <c r="F110" s="153"/>
      <c r="G110" s="153"/>
    </row>
    <row r="111" spans="1:7" ht="14.25">
      <c r="A111" s="146"/>
      <c r="B111" s="148"/>
      <c r="C111" s="153"/>
      <c r="D111" s="153"/>
      <c r="E111" s="153"/>
      <c r="F111" s="153"/>
      <c r="G111" s="153"/>
    </row>
    <row r="112" spans="1:7" ht="14.25">
      <c r="A112" s="146"/>
      <c r="B112" s="148"/>
      <c r="C112" s="153"/>
      <c r="D112" s="153"/>
      <c r="E112" s="153"/>
      <c r="F112" s="153"/>
      <c r="G112" s="153"/>
    </row>
    <row r="113" spans="1:7" ht="14.25">
      <c r="A113" s="146"/>
      <c r="B113" s="148"/>
      <c r="C113" s="153"/>
      <c r="D113" s="153"/>
      <c r="E113" s="153"/>
      <c r="F113" s="153"/>
      <c r="G113" s="153"/>
    </row>
    <row r="114" spans="1:7" ht="14.25">
      <c r="A114" s="146"/>
      <c r="B114" s="148"/>
      <c r="C114" s="153"/>
      <c r="D114" s="153"/>
      <c r="E114" s="153"/>
      <c r="F114" s="153"/>
      <c r="G114" s="153"/>
    </row>
    <row r="115" spans="1:7" ht="14.25">
      <c r="A115" s="146"/>
      <c r="B115" s="148"/>
      <c r="C115" s="153"/>
      <c r="D115" s="153"/>
      <c r="E115" s="153"/>
      <c r="F115" s="153"/>
      <c r="G115" s="153"/>
    </row>
    <row r="116" spans="1:7" ht="14.25">
      <c r="A116" s="146"/>
      <c r="B116" s="148"/>
      <c r="C116" s="153"/>
      <c r="D116" s="153"/>
      <c r="E116" s="153"/>
      <c r="F116" s="153"/>
      <c r="G116" s="153"/>
    </row>
    <row r="117" spans="1:7" ht="14.25">
      <c r="A117" s="146"/>
      <c r="B117" s="148"/>
      <c r="C117" s="153"/>
      <c r="D117" s="153"/>
    </row>
    <row r="118" spans="1:7" ht="14.25">
      <c r="A118" s="146"/>
      <c r="B118" s="148"/>
      <c r="C118" s="153"/>
      <c r="D118" s="153"/>
    </row>
    <row r="119" spans="1:7" ht="14.25">
      <c r="A119" s="146"/>
      <c r="B119" s="148"/>
      <c r="C119" s="153"/>
      <c r="D119" s="153"/>
    </row>
    <row r="120" spans="1:7" ht="14.25">
      <c r="A120" s="146"/>
      <c r="B120" s="148"/>
      <c r="C120" s="153"/>
      <c r="D120" s="153"/>
    </row>
    <row r="121" spans="1:7" ht="14.25">
      <c r="A121" s="146"/>
      <c r="B121" s="148"/>
      <c r="C121" s="153"/>
      <c r="D121" s="153"/>
    </row>
    <row r="122" spans="1:7">
      <c r="D122" s="153"/>
    </row>
    <row r="123" spans="1:7">
      <c r="D123" s="153"/>
    </row>
  </sheetData>
  <mergeCells count="2">
    <mergeCell ref="F28:G28"/>
    <mergeCell ref="F29:G29"/>
  </mergeCells>
  <pageMargins left="0.25" right="0" top="0.37" bottom="0.27" header="0.28000000000000003" footer="0.24"/>
  <pageSetup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activeCell="C29" sqref="C29"/>
    </sheetView>
  </sheetViews>
  <sheetFormatPr defaultRowHeight="12.75"/>
  <cols>
    <col min="1" max="1" width="24.140625" customWidth="1"/>
    <col min="2" max="2" width="10.140625" style="115" bestFit="1" customWidth="1"/>
    <col min="3" max="3" width="14" bestFit="1" customWidth="1"/>
    <col min="4" max="4" width="12.140625" bestFit="1" customWidth="1"/>
  </cols>
  <sheetData>
    <row r="1" spans="1:9">
      <c r="D1" t="s">
        <v>280</v>
      </c>
    </row>
    <row r="2" spans="1:9">
      <c r="A2" t="s">
        <v>300</v>
      </c>
      <c r="D2" s="46"/>
    </row>
    <row r="3" spans="1:9">
      <c r="A3" t="s">
        <v>104</v>
      </c>
      <c r="C3" s="8"/>
      <c r="D3" s="108"/>
    </row>
    <row r="4" spans="1:9">
      <c r="A4" t="s">
        <v>232</v>
      </c>
      <c r="D4" s="46"/>
    </row>
    <row r="5" spans="1:9">
      <c r="A5" t="s">
        <v>105</v>
      </c>
      <c r="C5" s="8"/>
      <c r="E5" s="8"/>
    </row>
    <row r="6" spans="1:9">
      <c r="A6" t="s">
        <v>106</v>
      </c>
      <c r="C6" s="8"/>
    </row>
    <row r="7" spans="1:9">
      <c r="A7" t="s">
        <v>279</v>
      </c>
      <c r="C7" s="8"/>
      <c r="D7" s="41"/>
    </row>
    <row r="8" spans="1:9">
      <c r="A8" t="s">
        <v>107</v>
      </c>
      <c r="C8" s="8"/>
      <c r="D8" s="108"/>
    </row>
    <row r="9" spans="1:9">
      <c r="A9" t="s">
        <v>108</v>
      </c>
    </row>
    <row r="10" spans="1:9">
      <c r="A10" t="s">
        <v>109</v>
      </c>
      <c r="D10" s="41"/>
      <c r="E10" s="117"/>
      <c r="F10" s="117"/>
      <c r="G10" s="117"/>
      <c r="H10" s="117"/>
      <c r="I10" s="117"/>
    </row>
    <row r="11" spans="1:9">
      <c r="A11" t="s">
        <v>110</v>
      </c>
      <c r="D11" s="46"/>
      <c r="E11" s="117"/>
      <c r="F11" s="117"/>
      <c r="G11" s="117"/>
      <c r="H11" s="117"/>
      <c r="I11" s="117"/>
    </row>
    <row r="12" spans="1:9">
      <c r="A12" t="s">
        <v>111</v>
      </c>
      <c r="C12" s="8"/>
    </row>
    <row r="13" spans="1:9">
      <c r="A13" t="s">
        <v>112</v>
      </c>
      <c r="C13" s="46"/>
      <c r="D13" s="41"/>
    </row>
    <row r="14" spans="1:9">
      <c r="A14" t="s">
        <v>113</v>
      </c>
    </row>
    <row r="15" spans="1:9">
      <c r="A15" t="s">
        <v>114</v>
      </c>
    </row>
    <row r="16" spans="1:9">
      <c r="A16" t="s">
        <v>115</v>
      </c>
    </row>
    <row r="17" spans="1:4">
      <c r="A17" t="s">
        <v>116</v>
      </c>
      <c r="C17" s="8"/>
    </row>
    <row r="18" spans="1:4">
      <c r="A18" t="s">
        <v>233</v>
      </c>
    </row>
    <row r="19" spans="1:4">
      <c r="A19" t="s">
        <v>117</v>
      </c>
      <c r="D19" s="41"/>
    </row>
    <row r="20" spans="1:4">
      <c r="A20" t="s">
        <v>234</v>
      </c>
    </row>
    <row r="21" spans="1:4">
      <c r="A21" t="s">
        <v>235</v>
      </c>
    </row>
    <row r="22" spans="1:4">
      <c r="A22" t="s">
        <v>118</v>
      </c>
    </row>
    <row r="23" spans="1:4">
      <c r="A23" t="s">
        <v>215</v>
      </c>
      <c r="D23" s="46"/>
    </row>
    <row r="24" spans="1:4">
      <c r="A24" t="s">
        <v>216</v>
      </c>
      <c r="D24" s="46"/>
    </row>
    <row r="25" spans="1:4">
      <c r="A25" t="s">
        <v>119</v>
      </c>
    </row>
    <row r="26" spans="1:4">
      <c r="A26" t="s">
        <v>120</v>
      </c>
    </row>
    <row r="27" spans="1:4">
      <c r="A27" t="s">
        <v>236</v>
      </c>
    </row>
    <row r="28" spans="1:4">
      <c r="A28" t="s">
        <v>121</v>
      </c>
      <c r="C28" s="131" t="s">
        <v>435</v>
      </c>
    </row>
    <row r="29" spans="1:4">
      <c r="A29" t="s">
        <v>122</v>
      </c>
      <c r="C29" s="8"/>
    </row>
    <row r="30" spans="1:4">
      <c r="A30" t="s">
        <v>103</v>
      </c>
      <c r="C30" s="8"/>
      <c r="D30" s="108"/>
    </row>
    <row r="31" spans="1:4">
      <c r="A31" t="s">
        <v>123</v>
      </c>
    </row>
    <row r="32" spans="1:4">
      <c r="A32" t="s">
        <v>124</v>
      </c>
      <c r="C32" s="8"/>
      <c r="D32" s="41"/>
    </row>
    <row r="33" spans="1:9">
      <c r="A33" t="s">
        <v>237</v>
      </c>
      <c r="C33" s="8"/>
    </row>
    <row r="34" spans="1:9">
      <c r="A34" t="s">
        <v>238</v>
      </c>
      <c r="C34" s="8"/>
    </row>
    <row r="35" spans="1:9">
      <c r="A35" t="s">
        <v>125</v>
      </c>
    </row>
    <row r="36" spans="1:9">
      <c r="A36" t="s">
        <v>211</v>
      </c>
    </row>
    <row r="37" spans="1:9">
      <c r="A37" t="s">
        <v>240</v>
      </c>
    </row>
    <row r="38" spans="1:9">
      <c r="A38" t="s">
        <v>239</v>
      </c>
    </row>
    <row r="39" spans="1:9">
      <c r="A39" t="s">
        <v>217</v>
      </c>
      <c r="D39" s="46"/>
    </row>
    <row r="40" spans="1:9">
      <c r="A40" t="s">
        <v>241</v>
      </c>
    </row>
    <row r="41" spans="1:9">
      <c r="A41" t="s">
        <v>126</v>
      </c>
      <c r="C41" s="46"/>
    </row>
    <row r="42" spans="1:9">
      <c r="A42" t="s">
        <v>178</v>
      </c>
    </row>
    <row r="43" spans="1:9">
      <c r="A43" t="s">
        <v>127</v>
      </c>
      <c r="C43" s="8"/>
      <c r="E43" s="123"/>
      <c r="F43" s="117"/>
      <c r="G43" s="117"/>
      <c r="H43" s="117"/>
      <c r="I43" s="117"/>
    </row>
    <row r="44" spans="1:9">
      <c r="A44" t="s">
        <v>128</v>
      </c>
      <c r="D44" s="41"/>
    </row>
    <row r="45" spans="1:9">
      <c r="A45" t="s">
        <v>214</v>
      </c>
    </row>
    <row r="46" spans="1:9">
      <c r="A46" t="s">
        <v>129</v>
      </c>
    </row>
    <row r="47" spans="1:9">
      <c r="A47" t="s">
        <v>242</v>
      </c>
    </row>
    <row r="48" spans="1:9">
      <c r="A48" t="s">
        <v>243</v>
      </c>
    </row>
    <row r="49" spans="1:4">
      <c r="A49" t="s">
        <v>153</v>
      </c>
      <c r="D49" s="46"/>
    </row>
    <row r="51" spans="1:4">
      <c r="A51" t="s">
        <v>130</v>
      </c>
    </row>
    <row r="52" spans="1:4">
      <c r="A52" t="s">
        <v>244</v>
      </c>
    </row>
    <row r="53" spans="1:4">
      <c r="A53" t="s">
        <v>218</v>
      </c>
    </row>
    <row r="54" spans="1:4">
      <c r="A54" t="s">
        <v>154</v>
      </c>
    </row>
    <row r="55" spans="1:4">
      <c r="A55" t="s">
        <v>131</v>
      </c>
      <c r="C55" s="46"/>
    </row>
    <row r="56" spans="1:4">
      <c r="A56" t="s">
        <v>245</v>
      </c>
      <c r="C56" s="46"/>
    </row>
    <row r="58" spans="1:4">
      <c r="A58" t="s">
        <v>132</v>
      </c>
    </row>
    <row r="59" spans="1:4">
      <c r="A59" t="s">
        <v>209</v>
      </c>
    </row>
    <row r="61" spans="1:4">
      <c r="A61" s="8"/>
    </row>
    <row r="62" spans="1:4">
      <c r="A62" t="s">
        <v>268</v>
      </c>
      <c r="B62" s="115">
        <f>SUM(B3:B61)</f>
        <v>0</v>
      </c>
    </row>
    <row r="66" spans="1:2">
      <c r="A66" s="8" t="s">
        <v>98</v>
      </c>
      <c r="B66" s="115">
        <f>+B44+B30+B29+B24+B15+B23+B8+B3</f>
        <v>0</v>
      </c>
    </row>
  </sheetData>
  <autoFilter ref="A1:I49"/>
  <phoneticPr fontId="6" type="noConversion"/>
  <pageMargins left="0.48" right="0.37" top="1" bottom="1" header="0.5" footer="0.5"/>
  <pageSetup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5"/>
  <sheetViews>
    <sheetView topLeftCell="A31" workbookViewId="0">
      <selection activeCell="B75" sqref="B75"/>
    </sheetView>
  </sheetViews>
  <sheetFormatPr defaultRowHeight="12.75"/>
  <cols>
    <col min="1" max="1" width="47.85546875" style="67" bestFit="1" customWidth="1"/>
    <col min="2" max="2" width="10.85546875" style="67" bestFit="1" customWidth="1"/>
    <col min="3" max="3" width="9.140625" style="67"/>
    <col min="4" max="4" width="9.85546875" style="67" bestFit="1" customWidth="1"/>
    <col min="5" max="5" width="10.28515625" style="67" bestFit="1" customWidth="1"/>
    <col min="6" max="16384" width="9.140625" style="67"/>
  </cols>
  <sheetData>
    <row r="1" spans="1:2">
      <c r="A1" s="67" t="s">
        <v>179</v>
      </c>
    </row>
    <row r="3" spans="1:2">
      <c r="A3" s="69" t="s">
        <v>180</v>
      </c>
      <c r="B3" s="67">
        <v>51821.84</v>
      </c>
    </row>
    <row r="4" spans="1:2">
      <c r="A4" s="67" t="s">
        <v>181</v>
      </c>
      <c r="B4" s="67">
        <v>224.62</v>
      </c>
    </row>
    <row r="5" spans="1:2">
      <c r="A5" s="67" t="s">
        <v>182</v>
      </c>
      <c r="B5" s="67">
        <v>-500</v>
      </c>
    </row>
    <row r="6" spans="1:2">
      <c r="A6" s="67" t="s">
        <v>183</v>
      </c>
      <c r="B6" s="68">
        <v>-30735.85</v>
      </c>
    </row>
    <row r="7" spans="1:2">
      <c r="B7" s="67">
        <f>SUM(B3:B6)</f>
        <v>20810.61</v>
      </c>
    </row>
    <row r="11" spans="1:2">
      <c r="A11" s="67" t="s">
        <v>184</v>
      </c>
    </row>
    <row r="12" spans="1:2">
      <c r="A12" s="67" t="s">
        <v>185</v>
      </c>
      <c r="B12" s="67">
        <f>B4</f>
        <v>224.62</v>
      </c>
    </row>
    <row r="13" spans="1:2">
      <c r="A13" s="67" t="s">
        <v>186</v>
      </c>
      <c r="B13" s="67">
        <v>94.47</v>
      </c>
    </row>
    <row r="14" spans="1:2">
      <c r="A14" s="67" t="s">
        <v>187</v>
      </c>
      <c r="B14" s="67">
        <v>524.84</v>
      </c>
    </row>
    <row r="15" spans="1:2">
      <c r="A15" s="67" t="s">
        <v>173</v>
      </c>
      <c r="B15" s="68">
        <v>-28.66</v>
      </c>
    </row>
    <row r="16" spans="1:2">
      <c r="B16" s="67">
        <f>SUM(B12:B15)</f>
        <v>815.2700000000001</v>
      </c>
    </row>
    <row r="18" spans="1:2">
      <c r="A18" s="67" t="s">
        <v>203</v>
      </c>
      <c r="B18" s="67">
        <f>B7-B16</f>
        <v>19995.34</v>
      </c>
    </row>
    <row r="22" spans="1:2">
      <c r="A22" s="69" t="s">
        <v>202</v>
      </c>
    </row>
    <row r="23" spans="1:2">
      <c r="A23" s="69" t="s">
        <v>224</v>
      </c>
      <c r="B23" s="67">
        <v>52.96</v>
      </c>
    </row>
    <row r="24" spans="1:2">
      <c r="A24" s="67" t="s">
        <v>207</v>
      </c>
      <c r="B24" s="67">
        <v>609.30999999999995</v>
      </c>
    </row>
    <row r="25" spans="1:2">
      <c r="A25" s="67" t="s">
        <v>208</v>
      </c>
      <c r="B25" s="67">
        <f>-B14</f>
        <v>-524.84</v>
      </c>
    </row>
    <row r="26" spans="1:2">
      <c r="A26" s="67" t="s">
        <v>222</v>
      </c>
      <c r="B26" s="67">
        <v>1224.5899999999999</v>
      </c>
    </row>
    <row r="27" spans="1:2">
      <c r="A27" s="67" t="s">
        <v>223</v>
      </c>
      <c r="B27" s="67">
        <f>'Bonds accd int'!N13</f>
        <v>537.73333333333335</v>
      </c>
    </row>
    <row r="28" spans="1:2">
      <c r="A28" s="67" t="s">
        <v>173</v>
      </c>
      <c r="B28" s="68">
        <f>-'Bonds accd int'!H23</f>
        <v>-28.66399999999998</v>
      </c>
    </row>
    <row r="29" spans="1:2">
      <c r="B29" s="67">
        <f>SUM(B23:B28)</f>
        <v>1871.0893333333333</v>
      </c>
    </row>
    <row r="31" spans="1:2">
      <c r="A31" s="67" t="s">
        <v>225</v>
      </c>
      <c r="B31" s="67">
        <f>B18+B23+B24+B26</f>
        <v>21882.2</v>
      </c>
    </row>
    <row r="33" spans="1:4" ht="15">
      <c r="A33" s="98" t="s">
        <v>257</v>
      </c>
    </row>
    <row r="34" spans="1:4" s="94" customFormat="1">
      <c r="A34" s="69" t="s">
        <v>256</v>
      </c>
      <c r="B34" s="95">
        <f>-B29</f>
        <v>-1871.0893333333333</v>
      </c>
      <c r="C34" s="94" t="s">
        <v>254</v>
      </c>
    </row>
    <row r="35" spans="1:4" s="94" customFormat="1">
      <c r="B35" s="69"/>
      <c r="C35" s="94" t="s">
        <v>255</v>
      </c>
    </row>
    <row r="36" spans="1:4">
      <c r="A36" s="69"/>
    </row>
    <row r="37" spans="1:4">
      <c r="A37" s="69" t="s">
        <v>230</v>
      </c>
    </row>
    <row r="38" spans="1:4">
      <c r="A38" s="69" t="s">
        <v>224</v>
      </c>
      <c r="B38" s="67">
        <v>45.61</v>
      </c>
    </row>
    <row r="39" spans="1:4">
      <c r="A39" s="67" t="s">
        <v>207</v>
      </c>
      <c r="B39" s="67">
        <v>762.43</v>
      </c>
      <c r="D39" s="94" t="s">
        <v>249</v>
      </c>
    </row>
    <row r="40" spans="1:4">
      <c r="A40" s="67" t="s">
        <v>247</v>
      </c>
      <c r="B40" s="67">
        <v>785.63</v>
      </c>
      <c r="D40" s="94" t="s">
        <v>250</v>
      </c>
    </row>
    <row r="41" spans="1:4">
      <c r="A41" s="67" t="s">
        <v>248</v>
      </c>
      <c r="B41" s="67">
        <v>303.8</v>
      </c>
      <c r="D41" s="94" t="s">
        <v>251</v>
      </c>
    </row>
    <row r="42" spans="1:4">
      <c r="A42" s="67" t="s">
        <v>173</v>
      </c>
      <c r="B42" s="68">
        <f>-'Bonds accd int'!H23</f>
        <v>-28.66399999999998</v>
      </c>
    </row>
    <row r="43" spans="1:4">
      <c r="B43" s="67">
        <f>SUM(B38:B42)</f>
        <v>1868.806</v>
      </c>
    </row>
    <row r="45" spans="1:4">
      <c r="A45" s="69" t="s">
        <v>225</v>
      </c>
      <c r="B45" s="67">
        <f>B31+B34+B43</f>
        <v>21879.916666666668</v>
      </c>
    </row>
    <row r="46" spans="1:4">
      <c r="A46" s="69"/>
    </row>
    <row r="47" spans="1:4" ht="15">
      <c r="A47" s="98" t="s">
        <v>260</v>
      </c>
    </row>
    <row r="48" spans="1:4">
      <c r="A48" s="69" t="s">
        <v>261</v>
      </c>
      <c r="B48" s="67">
        <v>-1868.81</v>
      </c>
      <c r="C48" s="94" t="s">
        <v>254</v>
      </c>
    </row>
    <row r="49" spans="1:4">
      <c r="C49" s="94" t="s">
        <v>267</v>
      </c>
    </row>
    <row r="50" spans="1:4">
      <c r="A50" s="69" t="s">
        <v>259</v>
      </c>
    </row>
    <row r="51" spans="1:4">
      <c r="A51" s="69" t="s">
        <v>224</v>
      </c>
      <c r="B51" s="67">
        <v>24.16</v>
      </c>
    </row>
    <row r="52" spans="1:4">
      <c r="A52" s="67" t="s">
        <v>207</v>
      </c>
      <c r="B52" s="67">
        <v>762.43</v>
      </c>
    </row>
    <row r="53" spans="1:4">
      <c r="A53" s="67" t="s">
        <v>303</v>
      </c>
      <c r="B53" s="67">
        <v>163.5</v>
      </c>
    </row>
    <row r="54" spans="1:4">
      <c r="A54" s="67" t="s">
        <v>247</v>
      </c>
      <c r="B54" s="67">
        <v>762.43</v>
      </c>
    </row>
    <row r="55" spans="1:4">
      <c r="A55" s="67" t="s">
        <v>248</v>
      </c>
      <c r="B55" s="67">
        <v>163.5</v>
      </c>
    </row>
    <row r="56" spans="1:4">
      <c r="A56" s="67" t="s">
        <v>173</v>
      </c>
      <c r="B56" s="68">
        <f>-'Bonds accd int'!H23</f>
        <v>-28.66399999999998</v>
      </c>
    </row>
    <row r="57" spans="1:4">
      <c r="B57" s="67">
        <f>SUM(B50:B56)</f>
        <v>1847.356</v>
      </c>
    </row>
    <row r="59" spans="1:4">
      <c r="A59" s="69" t="s">
        <v>225</v>
      </c>
      <c r="B59" s="67">
        <f>B45+B48+B57</f>
        <v>21858.462666666666</v>
      </c>
    </row>
    <row r="63" spans="1:4" ht="15">
      <c r="A63" s="98" t="s">
        <v>311</v>
      </c>
    </row>
    <row r="64" spans="1:4">
      <c r="A64" s="69" t="s">
        <v>261</v>
      </c>
      <c r="D64" s="67">
        <f>-B57</f>
        <v>-1847.356</v>
      </c>
    </row>
    <row r="66" spans="1:4">
      <c r="A66" s="69" t="s">
        <v>259</v>
      </c>
    </row>
    <row r="67" spans="1:4">
      <c r="A67" s="69" t="s">
        <v>224</v>
      </c>
      <c r="B67" s="67">
        <f>+'Cash Roll'!B29*0.2</f>
        <v>0</v>
      </c>
    </row>
    <row r="68" spans="1:4">
      <c r="A68" s="67" t="s">
        <v>207</v>
      </c>
    </row>
    <row r="69" spans="1:4">
      <c r="A69" s="67" t="s">
        <v>303</v>
      </c>
    </row>
    <row r="70" spans="1:4">
      <c r="A70" s="67" t="s">
        <v>247</v>
      </c>
    </row>
    <row r="71" spans="1:4">
      <c r="A71" s="67" t="s">
        <v>248</v>
      </c>
    </row>
    <row r="72" spans="1:4">
      <c r="A72" s="67" t="s">
        <v>173</v>
      </c>
      <c r="B72" s="68">
        <f>-'Bonds accd int'!H23</f>
        <v>-28.66399999999998</v>
      </c>
      <c r="D72" s="68">
        <f>-'Bonds accd int'!H23</f>
        <v>-28.66399999999998</v>
      </c>
    </row>
    <row r="73" spans="1:4">
      <c r="B73" s="67">
        <f>SUM(B66:B72)</f>
        <v>-28.66399999999998</v>
      </c>
    </row>
    <row r="75" spans="1:4">
      <c r="A75" s="69" t="s">
        <v>225</v>
      </c>
      <c r="B75" s="67">
        <f>+B59+B64+B73</f>
        <v>21829.798666666666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opLeftCell="C1" workbookViewId="0">
      <selection activeCell="Q3" sqref="Q3"/>
    </sheetView>
  </sheetViews>
  <sheetFormatPr defaultRowHeight="12.75"/>
  <cols>
    <col min="1" max="1" width="46.7109375" style="71" customWidth="1"/>
    <col min="2" max="3" width="9.140625" style="71"/>
    <col min="4" max="4" width="10.28515625" style="71" bestFit="1" customWidth="1"/>
    <col min="5" max="7" width="9.140625" style="71"/>
    <col min="8" max="8" width="10.5703125" style="71" customWidth="1"/>
    <col min="9" max="10" width="9.140625" style="71"/>
    <col min="11" max="11" width="11.7109375" style="71" customWidth="1"/>
    <col min="12" max="18" width="9.140625" style="71"/>
    <col min="19" max="19" width="9.28515625" style="71" bestFit="1" customWidth="1"/>
    <col min="20" max="16384" width="9.140625" style="71"/>
  </cols>
  <sheetData>
    <row r="1" spans="1:21">
      <c r="A1" s="70" t="s">
        <v>156</v>
      </c>
    </row>
    <row r="2" spans="1:21" s="73" customFormat="1">
      <c r="A2" s="72"/>
      <c r="J2" s="73" t="s">
        <v>191</v>
      </c>
      <c r="K2" s="74">
        <v>40359</v>
      </c>
      <c r="L2" s="74">
        <v>40359</v>
      </c>
      <c r="M2" s="74">
        <v>40359</v>
      </c>
      <c r="N2" s="74">
        <v>40724</v>
      </c>
      <c r="O2" s="74">
        <v>41090</v>
      </c>
      <c r="P2" s="74">
        <v>41455</v>
      </c>
      <c r="Q2" s="74">
        <v>41820</v>
      </c>
      <c r="R2" s="74"/>
    </row>
    <row r="3" spans="1:21" s="73" customFormat="1">
      <c r="B3" s="75" t="s">
        <v>158</v>
      </c>
      <c r="C3" s="75" t="s">
        <v>159</v>
      </c>
      <c r="D3" s="75" t="s">
        <v>160</v>
      </c>
      <c r="E3" s="73" t="s">
        <v>168</v>
      </c>
      <c r="F3" s="73" t="s">
        <v>170</v>
      </c>
      <c r="G3" s="73" t="s">
        <v>171</v>
      </c>
      <c r="H3" s="73" t="s">
        <v>172</v>
      </c>
      <c r="J3" s="73" t="s">
        <v>192</v>
      </c>
      <c r="K3" s="73" t="s">
        <v>193</v>
      </c>
      <c r="L3" s="73" t="s">
        <v>194</v>
      </c>
      <c r="M3" s="73" t="s">
        <v>194</v>
      </c>
      <c r="N3" s="73" t="s">
        <v>194</v>
      </c>
      <c r="O3" s="73" t="s">
        <v>194</v>
      </c>
      <c r="P3" s="73" t="s">
        <v>194</v>
      </c>
      <c r="Q3" s="73" t="s">
        <v>194</v>
      </c>
      <c r="S3" s="73" t="s">
        <v>195</v>
      </c>
    </row>
    <row r="4" spans="1:21" s="73" customFormat="1">
      <c r="B4" s="75" t="s">
        <v>34</v>
      </c>
      <c r="C4" s="75" t="s">
        <v>36</v>
      </c>
      <c r="D4" s="75" t="s">
        <v>161</v>
      </c>
      <c r="E4" s="73" t="s">
        <v>169</v>
      </c>
      <c r="F4" s="73" t="s">
        <v>34</v>
      </c>
      <c r="G4" s="73" t="s">
        <v>170</v>
      </c>
      <c r="H4" s="73" t="s">
        <v>173</v>
      </c>
      <c r="J4" s="73" t="s">
        <v>196</v>
      </c>
      <c r="K4" s="73" t="s">
        <v>194</v>
      </c>
      <c r="L4" s="73" t="s">
        <v>192</v>
      </c>
      <c r="M4" s="73" t="s">
        <v>192</v>
      </c>
      <c r="N4" s="73" t="s">
        <v>192</v>
      </c>
      <c r="O4" s="73" t="s">
        <v>192</v>
      </c>
      <c r="P4" s="73" t="s">
        <v>192</v>
      </c>
      <c r="Q4" s="73" t="s">
        <v>192</v>
      </c>
      <c r="S4" s="73" t="s">
        <v>197</v>
      </c>
      <c r="T4" s="73" t="s">
        <v>263</v>
      </c>
    </row>
    <row r="5" spans="1:21" s="73" customFormat="1">
      <c r="B5" s="75"/>
      <c r="C5" s="75"/>
      <c r="D5" s="75"/>
      <c r="M5" s="73" t="s">
        <v>198</v>
      </c>
    </row>
    <row r="6" spans="1:21">
      <c r="A6" s="76" t="s">
        <v>157</v>
      </c>
      <c r="B6" s="77">
        <v>40221</v>
      </c>
      <c r="C6" s="71">
        <v>5000</v>
      </c>
      <c r="D6" s="67">
        <f>5115.24-12.89</f>
        <v>5102.3499999999995</v>
      </c>
      <c r="E6" s="78">
        <f t="shared" ref="E6:E11" si="0">D6-C6</f>
        <v>102.34999999999945</v>
      </c>
      <c r="F6" s="71">
        <v>2035</v>
      </c>
      <c r="G6" s="71">
        <f t="shared" ref="G6:G11" si="1">F6-2010</f>
        <v>25</v>
      </c>
      <c r="H6" s="78">
        <f t="shared" ref="H6:H11" si="2">E6/25</f>
        <v>4.0939999999999781</v>
      </c>
      <c r="J6" s="67">
        <v>162.94999999999999</v>
      </c>
      <c r="K6" s="73">
        <v>5</v>
      </c>
      <c r="L6" s="67">
        <f>J6*K6/6</f>
        <v>135.79166666666666</v>
      </c>
      <c r="M6" s="67">
        <f>L6-[1]Bonds!E6</f>
        <v>122.90166666666666</v>
      </c>
      <c r="N6" s="78">
        <f t="shared" ref="N6:N11" si="3">L6</f>
        <v>135.79166666666666</v>
      </c>
      <c r="O6" s="78">
        <f t="shared" ref="O6:Q11" si="4">L6</f>
        <v>135.79166666666666</v>
      </c>
      <c r="P6" s="78">
        <v>135.79</v>
      </c>
      <c r="Q6" s="78">
        <v>135.79</v>
      </c>
      <c r="R6" s="78"/>
      <c r="S6" s="103">
        <f>C6*0.0663*0.5</f>
        <v>165.75</v>
      </c>
      <c r="T6" s="71" t="s">
        <v>264</v>
      </c>
    </row>
    <row r="7" spans="1:21">
      <c r="A7" s="76" t="s">
        <v>163</v>
      </c>
      <c r="B7" s="77">
        <v>40221</v>
      </c>
      <c r="C7" s="71">
        <v>5000</v>
      </c>
      <c r="D7" s="67">
        <v>5114.25</v>
      </c>
      <c r="E7" s="78">
        <f t="shared" si="0"/>
        <v>114.25</v>
      </c>
      <c r="F7" s="71">
        <v>2019</v>
      </c>
      <c r="G7" s="71">
        <f t="shared" si="1"/>
        <v>9</v>
      </c>
      <c r="H7" s="78">
        <f t="shared" si="2"/>
        <v>4.57</v>
      </c>
      <c r="J7" s="67">
        <v>97.1</v>
      </c>
      <c r="K7" s="73">
        <v>5</v>
      </c>
      <c r="L7" s="67">
        <f>J7*K7/6</f>
        <v>80.916666666666671</v>
      </c>
      <c r="M7" s="67">
        <f>L7</f>
        <v>80.916666666666671</v>
      </c>
      <c r="N7" s="78">
        <f t="shared" si="3"/>
        <v>80.916666666666671</v>
      </c>
      <c r="O7" s="78">
        <f t="shared" si="4"/>
        <v>80.916666666666671</v>
      </c>
      <c r="P7" s="78">
        <f t="shared" si="4"/>
        <v>80.916666666666671</v>
      </c>
      <c r="Q7" s="78">
        <f t="shared" si="4"/>
        <v>80.916666666666671</v>
      </c>
      <c r="R7" s="78"/>
      <c r="S7" s="103">
        <f>C7*0.0429*0.5</f>
        <v>107.25</v>
      </c>
      <c r="T7" s="71" t="s">
        <v>264</v>
      </c>
    </row>
    <row r="8" spans="1:21">
      <c r="A8" s="76" t="s">
        <v>164</v>
      </c>
      <c r="B8" s="77">
        <v>40220</v>
      </c>
      <c r="C8" s="71">
        <v>5000</v>
      </c>
      <c r="D8" s="67">
        <f>5154.01-6.36</f>
        <v>5147.6500000000005</v>
      </c>
      <c r="E8" s="78">
        <f t="shared" si="0"/>
        <v>147.65000000000055</v>
      </c>
      <c r="F8" s="71">
        <v>2036</v>
      </c>
      <c r="G8" s="71">
        <f t="shared" si="1"/>
        <v>26</v>
      </c>
      <c r="H8" s="78">
        <f t="shared" si="2"/>
        <v>5.9060000000000219</v>
      </c>
      <c r="J8" s="67">
        <v>163.5</v>
      </c>
      <c r="K8" s="73">
        <v>1</v>
      </c>
      <c r="L8" s="67">
        <f>J8*K8/6</f>
        <v>27.25</v>
      </c>
      <c r="M8" s="67">
        <f>L8</f>
        <v>27.25</v>
      </c>
      <c r="N8" s="78">
        <f t="shared" si="3"/>
        <v>27.25</v>
      </c>
      <c r="O8" s="78">
        <f t="shared" si="4"/>
        <v>27.25</v>
      </c>
      <c r="P8" s="78">
        <f t="shared" si="4"/>
        <v>27.25</v>
      </c>
      <c r="Q8" s="78">
        <f t="shared" si="4"/>
        <v>27.25</v>
      </c>
      <c r="R8" s="78"/>
      <c r="S8" s="103">
        <f>C8*0.0654*0.5</f>
        <v>163.5</v>
      </c>
      <c r="T8" s="71" t="s">
        <v>262</v>
      </c>
    </row>
    <row r="9" spans="1:21">
      <c r="A9" s="76" t="s">
        <v>165</v>
      </c>
      <c r="B9" s="77">
        <v>40228</v>
      </c>
      <c r="C9" s="71">
        <v>5000</v>
      </c>
      <c r="D9" s="67">
        <v>5117.45</v>
      </c>
      <c r="E9" s="78">
        <f t="shared" si="0"/>
        <v>117.44999999999982</v>
      </c>
      <c r="F9" s="71">
        <v>2034</v>
      </c>
      <c r="G9" s="71">
        <f t="shared" si="1"/>
        <v>24</v>
      </c>
      <c r="H9" s="78">
        <f t="shared" si="2"/>
        <v>4.6979999999999924</v>
      </c>
      <c r="J9" s="67">
        <v>307.7</v>
      </c>
      <c r="K9" s="73">
        <v>5</v>
      </c>
      <c r="L9" s="67">
        <f>J9*K9/12</f>
        <v>128.20833333333334</v>
      </c>
      <c r="M9" s="67">
        <f>L9</f>
        <v>128.20833333333334</v>
      </c>
      <c r="N9" s="78">
        <f t="shared" si="3"/>
        <v>128.20833333333334</v>
      </c>
      <c r="O9" s="78">
        <f t="shared" si="4"/>
        <v>128.20833333333334</v>
      </c>
      <c r="P9" s="78">
        <f t="shared" si="4"/>
        <v>128.20833333333334</v>
      </c>
      <c r="Q9" s="78">
        <f t="shared" si="4"/>
        <v>128.20833333333334</v>
      </c>
      <c r="R9" s="78"/>
      <c r="S9" s="67">
        <f>C9*0.069*0.5</f>
        <v>172.50000000000003</v>
      </c>
      <c r="T9" s="71" t="s">
        <v>264</v>
      </c>
      <c r="U9" s="71" t="s">
        <v>266</v>
      </c>
    </row>
    <row r="10" spans="1:21">
      <c r="A10" s="76" t="s">
        <v>199</v>
      </c>
      <c r="B10" s="77">
        <v>40238</v>
      </c>
      <c r="C10" s="71">
        <v>5000</v>
      </c>
      <c r="D10" s="67">
        <v>5117.45</v>
      </c>
      <c r="E10" s="78">
        <f t="shared" si="0"/>
        <v>117.44999999999982</v>
      </c>
      <c r="F10" s="71">
        <v>2030</v>
      </c>
      <c r="G10" s="71">
        <f t="shared" si="1"/>
        <v>20</v>
      </c>
      <c r="H10" s="78">
        <f t="shared" si="2"/>
        <v>4.6979999999999924</v>
      </c>
      <c r="J10" s="67">
        <v>131.44999999999999</v>
      </c>
      <c r="K10" s="73">
        <v>4</v>
      </c>
      <c r="L10" s="67">
        <f>J10*K10/6</f>
        <v>87.633333333333326</v>
      </c>
      <c r="M10" s="67">
        <f>L10</f>
        <v>87.633333333333326</v>
      </c>
      <c r="N10" s="78">
        <f t="shared" si="3"/>
        <v>87.633333333333326</v>
      </c>
      <c r="O10" s="78">
        <f t="shared" si="4"/>
        <v>87.633333333333326</v>
      </c>
      <c r="P10" s="78">
        <f t="shared" si="4"/>
        <v>87.633333333333326</v>
      </c>
      <c r="Q10" s="78">
        <f t="shared" si="4"/>
        <v>87.633333333333326</v>
      </c>
      <c r="R10" s="78"/>
      <c r="S10" s="67">
        <f>C10*0.0706*0.5</f>
        <v>176.5</v>
      </c>
      <c r="T10" s="71" t="s">
        <v>264</v>
      </c>
      <c r="U10" s="71" t="s">
        <v>265</v>
      </c>
    </row>
    <row r="11" spans="1:21">
      <c r="A11" s="76" t="s">
        <v>166</v>
      </c>
      <c r="B11" s="77">
        <v>40245</v>
      </c>
      <c r="C11" s="71">
        <v>5000</v>
      </c>
      <c r="D11" s="67">
        <v>5117.45</v>
      </c>
      <c r="E11" s="78">
        <f t="shared" si="0"/>
        <v>117.44999999999982</v>
      </c>
      <c r="F11" s="71">
        <v>2025</v>
      </c>
      <c r="G11" s="71">
        <f t="shared" si="1"/>
        <v>15</v>
      </c>
      <c r="H11" s="78">
        <f t="shared" si="2"/>
        <v>4.6979999999999924</v>
      </c>
      <c r="J11" s="67">
        <v>116.9</v>
      </c>
      <c r="K11" s="73">
        <v>4</v>
      </c>
      <c r="L11" s="67">
        <f>J11*K11/6</f>
        <v>77.933333333333337</v>
      </c>
      <c r="M11" s="67">
        <f>L11</f>
        <v>77.933333333333337</v>
      </c>
      <c r="N11" s="78">
        <f t="shared" si="3"/>
        <v>77.933333333333337</v>
      </c>
      <c r="O11" s="78">
        <f t="shared" si="4"/>
        <v>77.933333333333337</v>
      </c>
      <c r="P11" s="78">
        <f t="shared" si="4"/>
        <v>77.933333333333337</v>
      </c>
      <c r="Q11" s="78">
        <f t="shared" si="4"/>
        <v>77.933333333333337</v>
      </c>
      <c r="R11" s="78"/>
      <c r="S11" s="103">
        <f>C11*0.05612*0.5</f>
        <v>140.30000000000001</v>
      </c>
      <c r="T11" s="71" t="s">
        <v>264</v>
      </c>
    </row>
    <row r="12" spans="1:21">
      <c r="D12" s="67"/>
      <c r="L12" s="67"/>
      <c r="M12" s="67"/>
      <c r="S12" s="67"/>
    </row>
    <row r="13" spans="1:21">
      <c r="D13" s="67"/>
      <c r="L13" s="79"/>
      <c r="M13" s="67">
        <f>SUM(M6:M12)</f>
        <v>524.84333333333325</v>
      </c>
      <c r="N13" s="78">
        <f>SUM(N6:N12)</f>
        <v>537.73333333333335</v>
      </c>
      <c r="O13" s="78">
        <f>SUM(O6:O12)</f>
        <v>537.73333333333335</v>
      </c>
      <c r="P13" s="78">
        <f>SUM(P6:P12)</f>
        <v>537.73166666666657</v>
      </c>
      <c r="Q13" s="78">
        <f>SUM(Q6:Q12)</f>
        <v>537.73166666666657</v>
      </c>
      <c r="R13" s="78"/>
      <c r="S13" s="67">
        <f>SUM(S6:S12)</f>
        <v>925.8</v>
      </c>
    </row>
    <row r="14" spans="1:21">
      <c r="D14" s="67"/>
      <c r="S14" s="91" t="s">
        <v>221</v>
      </c>
    </row>
    <row r="15" spans="1:21">
      <c r="D15" s="67"/>
      <c r="S15" s="78">
        <f>S13*2</f>
        <v>1851.6</v>
      </c>
    </row>
    <row r="16" spans="1:21">
      <c r="D16" s="67"/>
    </row>
    <row r="17" spans="3:8">
      <c r="D17" s="67"/>
    </row>
    <row r="18" spans="3:8">
      <c r="D18" s="67"/>
    </row>
    <row r="19" spans="3:8">
      <c r="D19" s="67"/>
    </row>
    <row r="20" spans="3:8">
      <c r="D20" s="67"/>
    </row>
    <row r="21" spans="3:8">
      <c r="D21" s="67"/>
    </row>
    <row r="22" spans="3:8">
      <c r="D22" s="68"/>
    </row>
    <row r="23" spans="3:8">
      <c r="C23" s="71">
        <f>SUM(C6:C22)</f>
        <v>30000</v>
      </c>
      <c r="D23" s="71">
        <f>SUM(D6:D22)</f>
        <v>30716.600000000002</v>
      </c>
      <c r="E23" s="71">
        <f>SUM(E6:E22)</f>
        <v>716.59999999999945</v>
      </c>
      <c r="H23" s="78">
        <f>SUM(H6:H22)</f>
        <v>28.66399999999998</v>
      </c>
    </row>
    <row r="24" spans="3:8">
      <c r="D24" s="67"/>
    </row>
    <row r="25" spans="3:8">
      <c r="D25" s="67"/>
    </row>
    <row r="26" spans="3:8">
      <c r="D26" s="67"/>
    </row>
    <row r="27" spans="3:8">
      <c r="D27" s="67"/>
    </row>
    <row r="28" spans="3:8">
      <c r="D28" s="67"/>
    </row>
  </sheetData>
  <pageMargins left="0.7" right="0.7" top="0.75" bottom="0.75" header="0.3" footer="0.3"/>
  <pageSetup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A8" sqref="A8"/>
    </sheetView>
  </sheetViews>
  <sheetFormatPr defaultRowHeight="12.75"/>
  <cols>
    <col min="1" max="1" width="46.7109375" customWidth="1"/>
    <col min="2" max="4" width="10.28515625" bestFit="1" customWidth="1"/>
    <col min="5" max="5" width="9.28515625" bestFit="1" customWidth="1"/>
  </cols>
  <sheetData>
    <row r="1" spans="1:6">
      <c r="A1" s="2" t="s">
        <v>156</v>
      </c>
    </row>
    <row r="2" spans="1:6">
      <c r="A2" s="2"/>
    </row>
    <row r="3" spans="1:6" s="1" customFormat="1">
      <c r="B3" s="49" t="s">
        <v>158</v>
      </c>
      <c r="C3" s="49" t="s">
        <v>159</v>
      </c>
      <c r="D3" s="49" t="s">
        <v>160</v>
      </c>
      <c r="E3" s="49" t="s">
        <v>162</v>
      </c>
    </row>
    <row r="4" spans="1:6" s="1" customFormat="1">
      <c r="B4" s="49" t="s">
        <v>34</v>
      </c>
      <c r="C4" s="49" t="s">
        <v>36</v>
      </c>
      <c r="D4" s="49" t="s">
        <v>161</v>
      </c>
      <c r="E4" s="49" t="s">
        <v>2</v>
      </c>
    </row>
    <row r="5" spans="1:6" s="1" customFormat="1">
      <c r="B5" s="49"/>
      <c r="C5" s="49"/>
      <c r="D5" s="49"/>
    </row>
    <row r="6" spans="1:6">
      <c r="A6" s="8" t="s">
        <v>157</v>
      </c>
      <c r="B6" s="46">
        <v>40221</v>
      </c>
      <c r="C6">
        <v>5000</v>
      </c>
      <c r="D6" s="55">
        <f>5115.24-12.89</f>
        <v>5102.3499999999995</v>
      </c>
      <c r="E6" s="55">
        <v>12.89</v>
      </c>
      <c r="F6" s="8" t="s">
        <v>201</v>
      </c>
    </row>
    <row r="7" spans="1:6">
      <c r="A7" s="8" t="s">
        <v>163</v>
      </c>
      <c r="B7" s="46">
        <v>40221</v>
      </c>
      <c r="C7">
        <v>5000</v>
      </c>
      <c r="D7" s="55">
        <v>5114.25</v>
      </c>
      <c r="E7" s="55"/>
    </row>
    <row r="8" spans="1:6">
      <c r="A8" s="8" t="s">
        <v>164</v>
      </c>
      <c r="B8" s="46">
        <v>40220</v>
      </c>
      <c r="C8">
        <v>5000</v>
      </c>
      <c r="D8" s="55">
        <f>5154.01-6.36</f>
        <v>5147.6500000000005</v>
      </c>
      <c r="E8" s="55">
        <v>6.36</v>
      </c>
      <c r="F8" s="8" t="s">
        <v>200</v>
      </c>
    </row>
    <row r="9" spans="1:6">
      <c r="A9" s="8" t="s">
        <v>165</v>
      </c>
      <c r="B9" s="46">
        <v>40228</v>
      </c>
      <c r="C9">
        <v>5000</v>
      </c>
      <c r="D9" s="55">
        <f>5117.45-E9</f>
        <v>5117.45</v>
      </c>
      <c r="E9" s="55"/>
    </row>
    <row r="10" spans="1:6">
      <c r="A10" s="8" t="s">
        <v>167</v>
      </c>
      <c r="B10" s="46">
        <v>40238</v>
      </c>
      <c r="C10">
        <v>5000</v>
      </c>
      <c r="D10" s="55">
        <v>5117.45</v>
      </c>
      <c r="E10" s="55"/>
    </row>
    <row r="11" spans="1:6">
      <c r="A11" s="8" t="s">
        <v>166</v>
      </c>
      <c r="B11" s="46">
        <v>40245</v>
      </c>
      <c r="C11">
        <v>5000</v>
      </c>
      <c r="D11" s="55">
        <v>5117.45</v>
      </c>
      <c r="E11" s="55"/>
    </row>
    <row r="12" spans="1:6">
      <c r="D12" s="55"/>
      <c r="E12" s="55"/>
    </row>
    <row r="13" spans="1:6">
      <c r="D13" s="55"/>
      <c r="E13" s="55"/>
    </row>
    <row r="14" spans="1:6">
      <c r="D14" s="65"/>
      <c r="E14" s="65"/>
    </row>
    <row r="15" spans="1:6">
      <c r="C15" s="55">
        <f>SUM(C6:C14)</f>
        <v>30000</v>
      </c>
      <c r="D15" s="55">
        <f>SUM(D6:D14)</f>
        <v>30716.600000000002</v>
      </c>
      <c r="E15" s="55">
        <f>SUM(E6:E14)</f>
        <v>19.25</v>
      </c>
    </row>
    <row r="16" spans="1:6">
      <c r="D16" s="55"/>
      <c r="E16" s="55"/>
    </row>
    <row r="17" spans="1:5">
      <c r="D17" s="55"/>
      <c r="E17" s="55"/>
    </row>
    <row r="18" spans="1:5">
      <c r="A18" s="66" t="s">
        <v>174</v>
      </c>
      <c r="D18" s="67"/>
      <c r="E18" s="67"/>
    </row>
    <row r="19" spans="1:5">
      <c r="A19" s="8" t="s">
        <v>175</v>
      </c>
      <c r="B19" s="15">
        <f>C15</f>
        <v>30000</v>
      </c>
      <c r="D19" s="67"/>
      <c r="E19" s="67"/>
    </row>
    <row r="20" spans="1:5">
      <c r="A20" s="8" t="s">
        <v>176</v>
      </c>
      <c r="B20" s="15">
        <f>D15-B19</f>
        <v>716.60000000000218</v>
      </c>
      <c r="D20" s="67"/>
      <c r="E20" s="67"/>
    </row>
    <row r="21" spans="1:5">
      <c r="A21" s="8" t="s">
        <v>189</v>
      </c>
      <c r="B21" s="68">
        <f>-'[1]Bonds (2)'!H23*1</f>
        <v>-28.66399999999998</v>
      </c>
    </row>
    <row r="22" spans="1:5">
      <c r="A22" s="8" t="s">
        <v>177</v>
      </c>
      <c r="B22" s="15">
        <f>SUM(B19:B21)</f>
        <v>30687.936000000002</v>
      </c>
    </row>
    <row r="23" spans="1:5">
      <c r="A23" s="8"/>
      <c r="B23" s="15"/>
    </row>
    <row r="24" spans="1:5">
      <c r="A24" s="8" t="s">
        <v>219</v>
      </c>
      <c r="B24" s="22">
        <f>B21</f>
        <v>-28.66399999999998</v>
      </c>
    </row>
    <row r="25" spans="1:5">
      <c r="A25" s="8" t="s">
        <v>220</v>
      </c>
      <c r="B25" s="15">
        <f>SUM(B22:B24)</f>
        <v>30659.272000000001</v>
      </c>
    </row>
    <row r="27" spans="1:5">
      <c r="A27" s="8" t="s">
        <v>228</v>
      </c>
      <c r="B27" s="22">
        <f>B24</f>
        <v>-28.66399999999998</v>
      </c>
    </row>
    <row r="28" spans="1:5">
      <c r="A28" s="8" t="s">
        <v>229</v>
      </c>
      <c r="B28" s="15">
        <f>SUM(B25:B27)</f>
        <v>30630.608</v>
      </c>
    </row>
    <row r="30" spans="1:5">
      <c r="A30" s="8" t="s">
        <v>252</v>
      </c>
      <c r="B30" s="22">
        <f>B27</f>
        <v>-28.66399999999998</v>
      </c>
    </row>
    <row r="31" spans="1:5">
      <c r="A31" s="8" t="s">
        <v>253</v>
      </c>
      <c r="B31" s="15">
        <f>SUM(B28:B30)</f>
        <v>30601.944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opLeftCell="A16" workbookViewId="0">
      <selection activeCell="D24" sqref="D24"/>
    </sheetView>
  </sheetViews>
  <sheetFormatPr defaultRowHeight="12.75"/>
  <cols>
    <col min="1" max="1" width="4.42578125" customWidth="1"/>
    <col min="2" max="2" width="14.5703125" customWidth="1"/>
    <col min="3" max="3" width="45" bestFit="1" customWidth="1"/>
    <col min="4" max="4" width="15.42578125" style="83" customWidth="1"/>
    <col min="5" max="5" width="12.28515625" bestFit="1" customWidth="1"/>
    <col min="6" max="6" width="10.85546875" bestFit="1" customWidth="1"/>
    <col min="7" max="7" width="11.42578125" customWidth="1"/>
    <col min="8" max="8" width="11.28515625" bestFit="1" customWidth="1"/>
    <col min="10" max="10" width="9.28515625" bestFit="1" customWidth="1"/>
  </cols>
  <sheetData>
    <row r="1" spans="1:8">
      <c r="A1" s="2" t="s">
        <v>38</v>
      </c>
      <c r="B1" s="2"/>
      <c r="D1" s="86"/>
      <c r="G1" s="2"/>
    </row>
    <row r="2" spans="1:8">
      <c r="A2" s="2" t="s">
        <v>437</v>
      </c>
      <c r="B2" s="2"/>
      <c r="D2" s="86"/>
      <c r="G2" s="2"/>
    </row>
    <row r="3" spans="1:8">
      <c r="A3" s="2"/>
      <c r="B3" s="2"/>
      <c r="C3" s="132"/>
      <c r="D3" s="86"/>
      <c r="F3" s="8"/>
      <c r="G3" s="2"/>
    </row>
    <row r="4" spans="1:8">
      <c r="A4" s="2"/>
      <c r="B4" s="19" t="s">
        <v>39</v>
      </c>
      <c r="D4" s="86"/>
      <c r="G4" s="2"/>
      <c r="H4" s="4"/>
    </row>
    <row r="5" spans="1:8">
      <c r="C5" s="19" t="s">
        <v>28</v>
      </c>
      <c r="D5" s="86"/>
    </row>
    <row r="6" spans="1:8" ht="14.25">
      <c r="C6" t="s">
        <v>138</v>
      </c>
      <c r="D6" s="86">
        <f>'Cash Roll'!B16</f>
        <v>81930.135999999999</v>
      </c>
      <c r="E6" s="96"/>
      <c r="F6" t="b">
        <f>+D6='Cash Roll'!B16</f>
        <v>1</v>
      </c>
      <c r="G6" s="87"/>
    </row>
    <row r="7" spans="1:8" ht="14.25">
      <c r="B7" s="15"/>
      <c r="C7" t="s">
        <v>141</v>
      </c>
      <c r="D7" s="88">
        <f>-'Sch Fund'!B75</f>
        <v>-21829.798666666666</v>
      </c>
      <c r="E7" s="96"/>
      <c r="F7" s="136"/>
      <c r="G7" s="87"/>
    </row>
    <row r="8" spans="1:8" ht="14.25">
      <c r="C8" t="s">
        <v>298</v>
      </c>
      <c r="D8" s="88">
        <v>762.43</v>
      </c>
      <c r="E8" s="96"/>
      <c r="G8" s="87"/>
    </row>
    <row r="9" spans="1:8" ht="14.25">
      <c r="C9" t="s">
        <v>139</v>
      </c>
      <c r="D9" s="82">
        <f>'Cash Roll'!B8</f>
        <v>26035.479999999996</v>
      </c>
      <c r="E9" s="96"/>
      <c r="F9" t="b">
        <f>+D9='Cash Roll'!B8</f>
        <v>1</v>
      </c>
      <c r="G9" s="87"/>
    </row>
    <row r="10" spans="1:8">
      <c r="C10" t="s">
        <v>297</v>
      </c>
      <c r="D10" s="144">
        <v>0</v>
      </c>
      <c r="G10" s="87"/>
      <c r="H10" s="15"/>
    </row>
    <row r="11" spans="1:8">
      <c r="C11" t="s">
        <v>40</v>
      </c>
      <c r="D11" s="88">
        <f>SUM(D6:D10)</f>
        <v>86898.247333333333</v>
      </c>
      <c r="E11" s="4"/>
      <c r="G11" s="87"/>
    </row>
    <row r="12" spans="1:8" ht="14.25">
      <c r="C12" s="8"/>
      <c r="E12" s="96"/>
      <c r="H12" s="15"/>
    </row>
    <row r="13" spans="1:8" ht="14.25">
      <c r="C13" s="8" t="s">
        <v>246</v>
      </c>
      <c r="D13" s="83">
        <v>0</v>
      </c>
      <c r="E13" s="96"/>
      <c r="H13" s="15"/>
    </row>
    <row r="14" spans="1:8">
      <c r="C14" s="8"/>
      <c r="D14" s="82"/>
    </row>
    <row r="15" spans="1:8" ht="13.5" thickBot="1">
      <c r="B15" t="s">
        <v>41</v>
      </c>
      <c r="D15" s="85">
        <f>SUM(D11:D14)</f>
        <v>86898.247333333333</v>
      </c>
    </row>
    <row r="16" spans="1:8" ht="13.5" thickTop="1"/>
    <row r="17" spans="2:8">
      <c r="B17" s="19" t="s">
        <v>45</v>
      </c>
    </row>
    <row r="18" spans="2:8">
      <c r="C18" s="19" t="s">
        <v>42</v>
      </c>
      <c r="E18" s="4"/>
      <c r="H18" s="15"/>
    </row>
    <row r="19" spans="2:8">
      <c r="C19" s="8" t="s">
        <v>258</v>
      </c>
      <c r="D19" s="83">
        <v>276.18</v>
      </c>
      <c r="E19" s="4"/>
      <c r="H19" s="15"/>
    </row>
    <row r="20" spans="2:8" ht="14.25">
      <c r="C20" s="8" t="s">
        <v>276</v>
      </c>
      <c r="E20" s="97"/>
    </row>
    <row r="21" spans="2:8">
      <c r="C21" s="8"/>
      <c r="E21" s="4"/>
    </row>
    <row r="22" spans="2:8">
      <c r="H22" s="15"/>
    </row>
    <row r="23" spans="2:8">
      <c r="C23" s="19" t="s">
        <v>47</v>
      </c>
      <c r="F23" s="20"/>
      <c r="H23" s="15"/>
    </row>
    <row r="24" spans="2:8" ht="14.25">
      <c r="C24" s="120" t="s">
        <v>306</v>
      </c>
      <c r="D24" s="83">
        <f>ROUND('Tree Sale'!D39-IS!D58+SUM(IS!D9:D20),2)+0.01</f>
        <v>50392.490000000005</v>
      </c>
      <c r="E24" s="96"/>
      <c r="H24" s="15"/>
    </row>
    <row r="25" spans="2:8" s="130" customFormat="1" ht="14.25">
      <c r="C25" s="131" t="s">
        <v>405</v>
      </c>
      <c r="D25" s="83">
        <f>ROUND(+'Tree Sale'!C39,2)</f>
        <v>-19554.419999999998</v>
      </c>
      <c r="E25" s="96"/>
      <c r="H25" s="132"/>
    </row>
    <row r="26" spans="2:8" ht="14.25">
      <c r="C26" s="8" t="s">
        <v>294</v>
      </c>
      <c r="D26" s="83">
        <v>4000</v>
      </c>
      <c r="E26" s="96"/>
      <c r="H26" s="15"/>
    </row>
    <row r="27" spans="2:8" ht="14.25">
      <c r="C27" s="8" t="s">
        <v>295</v>
      </c>
      <c r="D27" s="83">
        <v>2000</v>
      </c>
      <c r="E27" s="96"/>
      <c r="H27" s="15"/>
    </row>
    <row r="28" spans="2:8" ht="14.25">
      <c r="C28" s="8" t="s">
        <v>292</v>
      </c>
      <c r="D28" s="83">
        <v>435</v>
      </c>
      <c r="E28" s="96"/>
    </row>
    <row r="29" spans="2:8" ht="14.25">
      <c r="C29" s="120" t="s">
        <v>301</v>
      </c>
      <c r="D29" s="83">
        <v>1200</v>
      </c>
      <c r="E29" s="96"/>
    </row>
    <row r="30" spans="2:8" ht="14.25">
      <c r="C30" s="8" t="s">
        <v>293</v>
      </c>
      <c r="D30" s="83">
        <f>165-110.5</f>
        <v>54.5</v>
      </c>
      <c r="E30" s="96"/>
    </row>
    <row r="31" spans="2:8" s="130" customFormat="1" ht="14.25">
      <c r="C31" s="131" t="s">
        <v>427</v>
      </c>
      <c r="D31" s="83">
        <f>+Deposits!N89</f>
        <v>2665</v>
      </c>
      <c r="E31" s="96"/>
    </row>
    <row r="32" spans="2:8" s="130" customFormat="1" ht="14.25">
      <c r="C32" s="131" t="s">
        <v>426</v>
      </c>
      <c r="D32" s="83">
        <f>+Deposits!O89</f>
        <v>400</v>
      </c>
      <c r="E32" s="96"/>
    </row>
    <row r="33" spans="1:12" s="130" customFormat="1" ht="14.25">
      <c r="C33" s="131" t="s">
        <v>441</v>
      </c>
      <c r="D33" s="83">
        <f>+Deposits!P89</f>
        <v>700</v>
      </c>
      <c r="E33" s="96"/>
    </row>
    <row r="34" spans="1:12" s="130" customFormat="1" ht="14.25">
      <c r="C34" s="131" t="s">
        <v>444</v>
      </c>
      <c r="D34" s="83">
        <f>+Deposits!Q89</f>
        <v>2707</v>
      </c>
      <c r="E34" s="96"/>
    </row>
    <row r="35" spans="1:12" ht="14.25">
      <c r="C35" t="s">
        <v>92</v>
      </c>
      <c r="D35" s="83">
        <f>15000+110.5</f>
        <v>15110.5</v>
      </c>
      <c r="E35" s="96"/>
      <c r="H35" s="15"/>
    </row>
    <row r="36" spans="1:12" ht="14.25">
      <c r="C36" t="s">
        <v>91</v>
      </c>
      <c r="D36" s="83">
        <v>10000</v>
      </c>
      <c r="E36" s="96"/>
    </row>
    <row r="37" spans="1:12">
      <c r="C37" t="s">
        <v>43</v>
      </c>
      <c r="D37" s="81">
        <f>16842-Disbursements!D9</f>
        <v>16512</v>
      </c>
      <c r="G37" s="281" t="s">
        <v>399</v>
      </c>
      <c r="H37" s="282"/>
      <c r="I37" s="282"/>
      <c r="J37" s="282"/>
      <c r="K37" s="282"/>
    </row>
    <row r="38" spans="1:12">
      <c r="C38" t="s">
        <v>48</v>
      </c>
      <c r="D38" s="83">
        <f>SUM(D24:D37)</f>
        <v>86622.07</v>
      </c>
      <c r="G38" s="282"/>
      <c r="H38" s="282"/>
      <c r="I38" s="282"/>
      <c r="J38" s="282"/>
      <c r="K38" s="282"/>
    </row>
    <row r="39" spans="1:12">
      <c r="G39" s="282"/>
      <c r="H39" s="282"/>
      <c r="I39" s="282"/>
      <c r="J39" s="282"/>
      <c r="K39" s="282"/>
    </row>
    <row r="40" spans="1:12" ht="13.5" thickBot="1">
      <c r="B40" t="s">
        <v>46</v>
      </c>
      <c r="D40" s="85">
        <f>+D19+D20+D38</f>
        <v>86898.25</v>
      </c>
      <c r="E40" s="20">
        <f>D15-D40</f>
        <v>-2.6666666672099382E-3</v>
      </c>
      <c r="F40" s="20"/>
      <c r="G40" s="282"/>
      <c r="H40" s="282"/>
      <c r="I40" s="282"/>
      <c r="J40" s="282"/>
      <c r="K40" s="282"/>
    </row>
    <row r="41" spans="1:12" ht="13.5" thickTop="1"/>
    <row r="42" spans="1:12" s="14" customFormat="1" ht="13.5" thickBot="1">
      <c r="A42"/>
      <c r="B42" t="s">
        <v>93</v>
      </c>
      <c r="C42"/>
      <c r="D42" s="83"/>
      <c r="E42"/>
      <c r="F42"/>
      <c r="G42"/>
      <c r="H42"/>
      <c r="I42"/>
      <c r="J42"/>
      <c r="K42"/>
      <c r="L42"/>
    </row>
    <row r="43" spans="1:12" ht="13.5" thickBot="1">
      <c r="A43" s="14"/>
      <c r="B43" s="14"/>
      <c r="C43" s="14"/>
      <c r="D43" s="89"/>
      <c r="E43" s="14"/>
      <c r="F43" s="14"/>
      <c r="G43" s="14"/>
      <c r="H43" s="14"/>
      <c r="I43" s="14"/>
      <c r="J43" s="14"/>
      <c r="K43" s="14"/>
      <c r="L43" s="14"/>
    </row>
    <row r="48" spans="1:12">
      <c r="A48" s="2" t="s">
        <v>44</v>
      </c>
      <c r="B48" s="2"/>
      <c r="E48" s="15"/>
    </row>
    <row r="50" spans="2:7">
      <c r="B50" s="19" t="s">
        <v>39</v>
      </c>
      <c r="C50" s="19"/>
    </row>
    <row r="51" spans="2:7">
      <c r="C51" t="s">
        <v>142</v>
      </c>
      <c r="D51" s="90">
        <f>+'Sch Fund'!B59</f>
        <v>21858.462666666666</v>
      </c>
      <c r="E51" s="124"/>
      <c r="G51" s="80"/>
    </row>
    <row r="52" spans="2:7">
      <c r="C52" s="8" t="s">
        <v>188</v>
      </c>
      <c r="D52" s="90">
        <f>'Bonds-cost'!B28</f>
        <v>30630.608</v>
      </c>
      <c r="G52" s="84"/>
    </row>
    <row r="53" spans="2:7">
      <c r="C53" s="8" t="s">
        <v>190</v>
      </c>
      <c r="D53" s="90">
        <f>'Bonds accd int'!P13</f>
        <v>537.73166666666657</v>
      </c>
      <c r="G53" s="84"/>
    </row>
    <row r="55" spans="2:7" ht="13.5" thickBot="1">
      <c r="B55" t="s">
        <v>41</v>
      </c>
      <c r="D55" s="85">
        <f>SUM(D51:D54)</f>
        <v>53026.802333333333</v>
      </c>
    </row>
    <row r="56" spans="2:7" ht="13.5" thickTop="1"/>
    <row r="57" spans="2:7">
      <c r="B57" s="19" t="s">
        <v>45</v>
      </c>
    </row>
    <row r="58" spans="2:7">
      <c r="B58" s="8"/>
      <c r="C58" s="120" t="s">
        <v>305</v>
      </c>
      <c r="D58" s="83">
        <f>+'Sch Fund'!B57</f>
        <v>1847.356</v>
      </c>
    </row>
    <row r="60" spans="2:7" ht="15.75" customHeight="1">
      <c r="C60" s="8" t="s">
        <v>226</v>
      </c>
      <c r="D60" s="83">
        <f>D55-D58</f>
        <v>51179.446333333333</v>
      </c>
    </row>
    <row r="62" spans="2:7" ht="13.5" thickBot="1">
      <c r="B62" t="s">
        <v>46</v>
      </c>
      <c r="D62" s="85">
        <f>SUM(D58:D61)</f>
        <v>53026.802333333333</v>
      </c>
    </row>
    <row r="63" spans="2:7" ht="13.5" thickTop="1"/>
  </sheetData>
  <mergeCells count="1">
    <mergeCell ref="G37:K40"/>
  </mergeCells>
  <printOptions gridLines="1"/>
  <pageMargins left="0.75" right="0.75" top="1.45" bottom="1" header="0.5" footer="0.5"/>
  <pageSetup scale="82" orientation="portrait" r:id="rId1"/>
  <headerFooter alignWithMargins="0">
    <oddHeader xml:space="preserve">&amp;C&amp;"Arial,Bold"&amp;12ROTARY CLUB OF SOUTH PORTLAND-CAPE ELIZABETH
Statement of Financial Position
&amp;"Arial,Regular"&amp;10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tabSelected="1" topLeftCell="A4" workbookViewId="0">
      <pane xSplit="1" ySplit="3" topLeftCell="B28" activePane="bottomRight" state="frozen"/>
      <selection activeCell="A4" sqref="A4"/>
      <selection pane="topRight" activeCell="B4" sqref="B4"/>
      <selection pane="bottomLeft" activeCell="A7" sqref="A7"/>
      <selection pane="bottomRight" activeCell="F75" sqref="F75"/>
    </sheetView>
  </sheetViews>
  <sheetFormatPr defaultRowHeight="12.75"/>
  <cols>
    <col min="1" max="1" width="42.42578125" style="117" bestFit="1" customWidth="1"/>
    <col min="2" max="2" width="13.28515625" style="248" customWidth="1"/>
    <col min="3" max="3" width="11.5703125" bestFit="1" customWidth="1"/>
    <col min="4" max="4" width="12.140625" bestFit="1" customWidth="1"/>
    <col min="5" max="5" width="12.28515625" bestFit="1" customWidth="1"/>
    <col min="6" max="6" width="14.7109375" customWidth="1"/>
    <col min="7" max="7" width="10.28515625" bestFit="1" customWidth="1"/>
    <col min="8" max="8" width="9.28515625" bestFit="1" customWidth="1"/>
  </cols>
  <sheetData>
    <row r="1" spans="1:6" ht="15.75">
      <c r="A1" s="283" t="s">
        <v>0</v>
      </c>
      <c r="B1" s="283"/>
      <c r="C1" s="283"/>
      <c r="D1" s="283"/>
      <c r="E1" s="283"/>
    </row>
    <row r="2" spans="1:6" ht="15.75">
      <c r="A2" s="283" t="s">
        <v>58</v>
      </c>
      <c r="B2" s="283"/>
      <c r="C2" s="283"/>
      <c r="D2" s="283"/>
      <c r="E2" s="283"/>
    </row>
    <row r="3" spans="1:6" ht="15.75">
      <c r="A3" s="283" t="s">
        <v>326</v>
      </c>
      <c r="B3" s="283"/>
      <c r="C3" s="283"/>
      <c r="D3" s="283"/>
      <c r="E3" s="283"/>
    </row>
    <row r="4" spans="1:6">
      <c r="A4" s="284" t="s">
        <v>438</v>
      </c>
      <c r="B4" s="285"/>
      <c r="C4" s="285"/>
      <c r="D4" s="285"/>
      <c r="E4" s="285"/>
    </row>
    <row r="5" spans="1:6" ht="18" customHeight="1">
      <c r="B5" s="131"/>
      <c r="C5" s="174" t="s">
        <v>325</v>
      </c>
      <c r="D5" s="174" t="s">
        <v>325</v>
      </c>
      <c r="E5" s="127" t="s">
        <v>271</v>
      </c>
    </row>
    <row r="6" spans="1:6" ht="13.5" thickBot="1">
      <c r="B6" s="173" t="s">
        <v>324</v>
      </c>
      <c r="C6" s="21" t="s">
        <v>1</v>
      </c>
      <c r="D6" s="21" t="s">
        <v>87</v>
      </c>
      <c r="E6" s="128" t="s">
        <v>272</v>
      </c>
    </row>
    <row r="7" spans="1:6">
      <c r="C7" s="130"/>
      <c r="E7" s="126"/>
    </row>
    <row r="8" spans="1:6" s="130" customFormat="1" ht="14.25">
      <c r="A8" s="146" t="s">
        <v>3</v>
      </c>
      <c r="B8" s="134">
        <v>35310.76</v>
      </c>
      <c r="C8" s="147">
        <f>+'Tree Sale'!D39</f>
        <v>35437.114000000001</v>
      </c>
      <c r="D8" s="30">
        <f>+C8</f>
        <v>35437.114000000001</v>
      </c>
      <c r="E8" s="8"/>
      <c r="F8" s="8"/>
    </row>
    <row r="9" spans="1:6" s="8" customFormat="1" ht="14.25">
      <c r="A9" s="146" t="s">
        <v>2</v>
      </c>
      <c r="B9" s="134">
        <v>120.78</v>
      </c>
      <c r="C9" s="147">
        <v>200</v>
      </c>
    </row>
    <row r="10" spans="1:6" s="8" customFormat="1" ht="14.25">
      <c r="A10" s="146" t="s">
        <v>227</v>
      </c>
      <c r="B10" s="134">
        <v>-24.156000000000002</v>
      </c>
      <c r="C10" s="148"/>
    </row>
    <row r="11" spans="1:6" s="8" customFormat="1" ht="14.25">
      <c r="A11" s="146" t="s">
        <v>298</v>
      </c>
      <c r="B11" s="134">
        <v>1851.8600000000001</v>
      </c>
      <c r="C11" s="148"/>
      <c r="D11" s="30">
        <f>+Deposits!H89+'Cash Roll'!H29</f>
        <v>802.93000000000006</v>
      </c>
    </row>
    <row r="12" spans="1:6" s="8" customFormat="1" ht="14.25">
      <c r="A12" s="146" t="s">
        <v>146</v>
      </c>
      <c r="B12" s="134">
        <v>192</v>
      </c>
      <c r="C12" s="148"/>
      <c r="D12" s="30">
        <f>+Deposits!L89</f>
        <v>613.63</v>
      </c>
    </row>
    <row r="13" spans="1:6" s="8" customFormat="1" ht="14.25">
      <c r="A13" s="146" t="s">
        <v>204</v>
      </c>
      <c r="B13" s="134">
        <v>499.2</v>
      </c>
      <c r="C13" s="147">
        <v>500</v>
      </c>
      <c r="D13" s="30">
        <f>+Deposits!J89</f>
        <v>70</v>
      </c>
    </row>
    <row r="14" spans="1:6" s="8" customFormat="1" ht="14.25">
      <c r="A14" s="146" t="s">
        <v>89</v>
      </c>
      <c r="B14" s="134">
        <v>1130.06</v>
      </c>
      <c r="C14" s="148"/>
      <c r="D14" s="30"/>
    </row>
    <row r="15" spans="1:6" s="8" customFormat="1">
      <c r="B15" s="131"/>
    </row>
    <row r="16" spans="1:6" s="8" customFormat="1" ht="14.25">
      <c r="A16" s="146" t="s">
        <v>312</v>
      </c>
      <c r="B16" s="134">
        <v>2102.9499999999998</v>
      </c>
      <c r="C16" s="147">
        <v>1000</v>
      </c>
      <c r="D16" s="30">
        <f>+Deposits!D89</f>
        <v>0</v>
      </c>
    </row>
    <row r="17" spans="1:7" s="8" customFormat="1" ht="14.25">
      <c r="A17" s="146" t="s">
        <v>231</v>
      </c>
      <c r="B17" s="134">
        <v>0</v>
      </c>
      <c r="C17" s="149">
        <v>16200</v>
      </c>
      <c r="D17" s="30">
        <f>+Deposits!F89</f>
        <v>29150</v>
      </c>
    </row>
    <row r="18" spans="1:7" s="8" customFormat="1" ht="14.25">
      <c r="A18" s="146" t="s">
        <v>270</v>
      </c>
      <c r="B18" s="134">
        <v>7250</v>
      </c>
      <c r="C18" s="149">
        <v>4500</v>
      </c>
      <c r="D18" s="30">
        <f>+Deposits!I89</f>
        <v>6835</v>
      </c>
    </row>
    <row r="19" spans="1:7" s="8" customFormat="1" ht="14.25">
      <c r="A19" s="146" t="s">
        <v>331</v>
      </c>
      <c r="B19" s="134"/>
      <c r="C19" s="149"/>
      <c r="D19" s="30">
        <f>+Deposits!M89</f>
        <v>700</v>
      </c>
    </row>
    <row r="20" spans="1:7" s="8" customFormat="1" ht="14.25">
      <c r="A20" s="146" t="s">
        <v>299</v>
      </c>
      <c r="B20" s="249">
        <v>4740</v>
      </c>
      <c r="C20" s="150">
        <v>8500</v>
      </c>
      <c r="D20" s="48">
        <f>+Deposits!E89</f>
        <v>3898</v>
      </c>
      <c r="E20" s="241"/>
    </row>
    <row r="21" spans="1:7" s="8" customFormat="1" ht="15">
      <c r="A21" s="151" t="s">
        <v>4</v>
      </c>
      <c r="B21" s="250">
        <v>53173.453999999998</v>
      </c>
      <c r="C21" s="152">
        <f>SUM(C8:C20)</f>
        <v>66337.114000000001</v>
      </c>
      <c r="D21" s="152">
        <f>SUM(D8:D20)</f>
        <v>77506.673999999999</v>
      </c>
      <c r="G21" s="30"/>
    </row>
    <row r="22" spans="1:7" s="8" customFormat="1">
      <c r="A22" s="153"/>
      <c r="B22" s="131"/>
      <c r="C22" s="148"/>
    </row>
    <row r="23" spans="1:7" ht="15">
      <c r="A23" s="154" t="s">
        <v>5</v>
      </c>
      <c r="B23" s="2"/>
      <c r="C23" s="117"/>
    </row>
    <row r="24" spans="1:7" ht="15">
      <c r="A24" s="154" t="s">
        <v>313</v>
      </c>
      <c r="B24" s="2"/>
      <c r="C24" s="117"/>
    </row>
    <row r="25" spans="1:7" ht="14.25">
      <c r="A25" s="146" t="s">
        <v>134</v>
      </c>
      <c r="B25" s="134">
        <v>500</v>
      </c>
      <c r="C25" s="155">
        <v>0</v>
      </c>
      <c r="E25" s="132">
        <f>+C25-D25</f>
        <v>0</v>
      </c>
    </row>
    <row r="26" spans="1:7" ht="14.25">
      <c r="A26" s="146" t="s">
        <v>26</v>
      </c>
      <c r="B26" s="134">
        <v>0</v>
      </c>
      <c r="C26" s="155">
        <v>50</v>
      </c>
      <c r="E26" s="132">
        <f t="shared" ref="E26:E67" si="0">+C26-D26</f>
        <v>50</v>
      </c>
    </row>
    <row r="27" spans="1:7" s="8" customFormat="1" ht="14.25">
      <c r="A27" s="146" t="s">
        <v>53</v>
      </c>
      <c r="B27" s="134">
        <v>750</v>
      </c>
      <c r="C27" s="155">
        <v>100</v>
      </c>
      <c r="D27" s="30">
        <f>+Disbursements!H128</f>
        <v>0</v>
      </c>
      <c r="E27" s="132">
        <f t="shared" si="0"/>
        <v>100</v>
      </c>
    </row>
    <row r="28" spans="1:7" s="8" customFormat="1" ht="14.25">
      <c r="A28" s="146" t="s">
        <v>143</v>
      </c>
      <c r="B28" s="134">
        <v>1250</v>
      </c>
      <c r="C28" s="155">
        <v>1250</v>
      </c>
      <c r="D28" s="30">
        <f>+Disbursements!V128</f>
        <v>800</v>
      </c>
      <c r="E28" s="132">
        <f t="shared" si="0"/>
        <v>450</v>
      </c>
    </row>
    <row r="29" spans="1:7" s="8" customFormat="1" ht="14.25">
      <c r="A29" s="146" t="s">
        <v>6</v>
      </c>
      <c r="B29" s="134">
        <v>3300</v>
      </c>
      <c r="C29" s="155">
        <v>4200</v>
      </c>
      <c r="D29" s="30">
        <f>+Disbursements!M128</f>
        <v>0</v>
      </c>
      <c r="E29" s="132">
        <f t="shared" si="0"/>
        <v>4200</v>
      </c>
    </row>
    <row r="30" spans="1:7" s="8" customFormat="1" ht="14.25">
      <c r="A30" s="146" t="s">
        <v>7</v>
      </c>
      <c r="B30" s="134">
        <v>4000</v>
      </c>
      <c r="C30" s="155">
        <v>5000</v>
      </c>
      <c r="D30" s="30">
        <f>+Disbursements!N128</f>
        <v>0</v>
      </c>
      <c r="E30" s="132">
        <f t="shared" si="0"/>
        <v>5000</v>
      </c>
    </row>
    <row r="31" spans="1:7" s="8" customFormat="1" ht="14.25">
      <c r="A31" s="146" t="s">
        <v>314</v>
      </c>
      <c r="B31" s="134">
        <v>5000</v>
      </c>
      <c r="C31" s="155">
        <v>4000</v>
      </c>
      <c r="E31" s="132">
        <f t="shared" si="0"/>
        <v>4000</v>
      </c>
    </row>
    <row r="32" spans="1:7" s="8" customFormat="1" ht="14.25">
      <c r="A32" s="146"/>
      <c r="B32" s="131"/>
      <c r="C32" s="147"/>
      <c r="E32" s="132">
        <f t="shared" si="0"/>
        <v>0</v>
      </c>
    </row>
    <row r="33" spans="1:8" s="8" customFormat="1" ht="15">
      <c r="A33" s="151" t="s">
        <v>315</v>
      </c>
      <c r="B33" s="251"/>
      <c r="C33" s="130"/>
      <c r="E33" s="132">
        <f t="shared" si="0"/>
        <v>0</v>
      </c>
    </row>
    <row r="34" spans="1:8" s="8" customFormat="1" ht="14.25">
      <c r="A34" s="146" t="s">
        <v>147</v>
      </c>
      <c r="B34" s="134">
        <v>112</v>
      </c>
      <c r="C34" s="156">
        <v>400</v>
      </c>
      <c r="D34" s="30">
        <f>+Disbursements!AC128</f>
        <v>245.5</v>
      </c>
      <c r="E34" s="132">
        <f t="shared" si="0"/>
        <v>154.5</v>
      </c>
    </row>
    <row r="35" spans="1:8" s="8" customFormat="1" ht="14.25">
      <c r="A35" s="146" t="s">
        <v>54</v>
      </c>
      <c r="B35" s="134">
        <v>4782.08</v>
      </c>
      <c r="C35" s="156">
        <v>7000</v>
      </c>
      <c r="D35" s="30">
        <f>+Disbursements!Y128</f>
        <v>300</v>
      </c>
      <c r="E35" s="132">
        <f t="shared" si="0"/>
        <v>6700</v>
      </c>
    </row>
    <row r="36" spans="1:8" s="8" customFormat="1" ht="14.25">
      <c r="A36" s="146" t="s">
        <v>302</v>
      </c>
      <c r="B36" s="134">
        <v>989</v>
      </c>
      <c r="C36" s="156"/>
      <c r="E36" s="132">
        <f t="shared" si="0"/>
        <v>0</v>
      </c>
    </row>
    <row r="37" spans="1:8" s="8" customFormat="1" ht="14.25">
      <c r="A37" s="146" t="s">
        <v>98</v>
      </c>
      <c r="B37" s="134">
        <v>2900</v>
      </c>
      <c r="C37" s="156">
        <v>5800</v>
      </c>
      <c r="D37" s="30">
        <f>+Disbursements!P128-Disbursements!P32</f>
        <v>0</v>
      </c>
      <c r="E37" s="132">
        <f t="shared" si="0"/>
        <v>5800</v>
      </c>
    </row>
    <row r="38" spans="1:8" s="8" customFormat="1" ht="14.25">
      <c r="A38" s="146" t="s">
        <v>316</v>
      </c>
      <c r="B38" s="131"/>
      <c r="C38" s="156">
        <v>900</v>
      </c>
      <c r="D38" s="30">
        <f>+Disbursements!P32</f>
        <v>500</v>
      </c>
      <c r="E38" s="132">
        <f t="shared" si="0"/>
        <v>400</v>
      </c>
    </row>
    <row r="39" spans="1:8" s="8" customFormat="1" ht="14.25">
      <c r="A39" s="146" t="s">
        <v>13</v>
      </c>
      <c r="B39" s="134">
        <v>208.35999999999999</v>
      </c>
      <c r="C39" s="156">
        <v>250</v>
      </c>
      <c r="D39" s="30">
        <f>+Disbursements!K128</f>
        <v>0</v>
      </c>
      <c r="E39" s="132">
        <f t="shared" si="0"/>
        <v>250</v>
      </c>
    </row>
    <row r="40" spans="1:8" s="8" customFormat="1" ht="14.25">
      <c r="A40" s="157" t="s">
        <v>10</v>
      </c>
      <c r="B40" s="252">
        <v>3077.45</v>
      </c>
      <c r="C40" s="158">
        <f>5140.61-163.5</f>
        <v>4977.1099999999997</v>
      </c>
      <c r="D40" s="30">
        <f>+Disbursements!G128</f>
        <v>0</v>
      </c>
      <c r="E40" s="132">
        <f t="shared" si="0"/>
        <v>4977.1099999999997</v>
      </c>
    </row>
    <row r="41" spans="1:8" s="8" customFormat="1" ht="14.25">
      <c r="A41" s="146" t="s">
        <v>210</v>
      </c>
      <c r="B41" s="134">
        <v>650</v>
      </c>
      <c r="C41" s="156">
        <v>0</v>
      </c>
      <c r="E41" s="132">
        <f t="shared" si="0"/>
        <v>0</v>
      </c>
      <c r="H41" s="30"/>
    </row>
    <row r="42" spans="1:8" s="8" customFormat="1" ht="14.25">
      <c r="A42" s="146" t="s">
        <v>55</v>
      </c>
      <c r="B42" s="134">
        <v>1200</v>
      </c>
      <c r="C42" s="156">
        <v>1100</v>
      </c>
      <c r="D42" s="30">
        <f>+Disbursements!AD128</f>
        <v>0</v>
      </c>
      <c r="E42" s="132">
        <f t="shared" si="0"/>
        <v>1100</v>
      </c>
      <c r="H42" s="30"/>
    </row>
    <row r="43" spans="1:8" s="8" customFormat="1" ht="14.25">
      <c r="A43" s="146" t="s">
        <v>25</v>
      </c>
      <c r="B43" s="134">
        <v>638.79</v>
      </c>
      <c r="C43" s="156">
        <v>650</v>
      </c>
      <c r="D43" s="30">
        <f>+Disbursements!Q128</f>
        <v>0</v>
      </c>
      <c r="E43" s="132">
        <f t="shared" si="0"/>
        <v>650</v>
      </c>
    </row>
    <row r="44" spans="1:8" s="8" customFormat="1" ht="14.25">
      <c r="A44" s="146" t="s">
        <v>299</v>
      </c>
      <c r="B44" s="134">
        <v>908.87</v>
      </c>
      <c r="C44" s="156">
        <v>4500</v>
      </c>
      <c r="D44" s="30">
        <f>+Disbursements!E128</f>
        <v>6540.78</v>
      </c>
      <c r="E44" s="132">
        <f t="shared" si="0"/>
        <v>-2040.7799999999997</v>
      </c>
    </row>
    <row r="45" spans="1:8" s="8" customFormat="1" ht="14.25">
      <c r="A45" s="146" t="s">
        <v>133</v>
      </c>
      <c r="B45" s="134">
        <v>1781.25</v>
      </c>
      <c r="C45" s="156">
        <v>2000</v>
      </c>
      <c r="D45" s="30">
        <f>+Disbursements!T128</f>
        <v>0</v>
      </c>
      <c r="E45" s="132">
        <f t="shared" si="0"/>
        <v>2000</v>
      </c>
    </row>
    <row r="46" spans="1:8" s="8" customFormat="1" ht="14.25">
      <c r="A46" s="146" t="s">
        <v>269</v>
      </c>
      <c r="B46" s="134">
        <v>1741.44</v>
      </c>
      <c r="C46" s="156">
        <v>1750</v>
      </c>
      <c r="D46" s="30">
        <f>+Disbursements!X128</f>
        <v>1089.3600000000001</v>
      </c>
      <c r="E46" s="132">
        <f t="shared" si="0"/>
        <v>660.63999999999987</v>
      </c>
    </row>
    <row r="47" spans="1:8" s="8" customFormat="1" ht="14.25">
      <c r="A47" s="146" t="s">
        <v>317</v>
      </c>
      <c r="B47" s="131"/>
      <c r="C47" s="159">
        <v>2750</v>
      </c>
      <c r="E47" s="132">
        <f t="shared" si="0"/>
        <v>2750</v>
      </c>
    </row>
    <row r="48" spans="1:8" s="8" customFormat="1" ht="14.25">
      <c r="A48" s="146" t="s">
        <v>8</v>
      </c>
      <c r="B48" s="134">
        <v>356.77</v>
      </c>
      <c r="C48" s="156">
        <v>0</v>
      </c>
      <c r="D48" s="30">
        <f>+Disbursements!W128</f>
        <v>0</v>
      </c>
      <c r="E48" s="132">
        <f t="shared" si="0"/>
        <v>0</v>
      </c>
    </row>
    <row r="49" spans="1:17" s="8" customFormat="1" ht="14.25">
      <c r="A49" s="146" t="s">
        <v>318</v>
      </c>
      <c r="B49" s="131"/>
      <c r="C49" s="159">
        <v>6200</v>
      </c>
      <c r="D49" s="30">
        <f>+Disbursements!F128</f>
        <v>15453.55</v>
      </c>
      <c r="E49" s="132">
        <f t="shared" si="0"/>
        <v>-9253.5499999999993</v>
      </c>
    </row>
    <row r="50" spans="1:17" s="8" customFormat="1" ht="14.25">
      <c r="A50" s="146" t="s">
        <v>319</v>
      </c>
      <c r="B50" s="134">
        <v>1287.5</v>
      </c>
      <c r="C50" s="159">
        <v>1400</v>
      </c>
      <c r="D50" s="30">
        <f>+Disbursements!AB128</f>
        <v>600</v>
      </c>
      <c r="E50" s="132">
        <f t="shared" si="0"/>
        <v>800</v>
      </c>
    </row>
    <row r="51" spans="1:17" s="8" customFormat="1">
      <c r="A51" s="130"/>
      <c r="B51" s="131"/>
      <c r="C51" s="130"/>
      <c r="E51" s="132">
        <f t="shared" si="0"/>
        <v>0</v>
      </c>
    </row>
    <row r="52" spans="1:17" s="8" customFormat="1" ht="15">
      <c r="A52" s="151" t="s">
        <v>62</v>
      </c>
      <c r="B52" s="251"/>
      <c r="C52" s="130"/>
      <c r="E52" s="132">
        <f t="shared" si="0"/>
        <v>0</v>
      </c>
    </row>
    <row r="53" spans="1:17" s="8" customFormat="1" ht="14.25">
      <c r="A53" s="146" t="s">
        <v>12</v>
      </c>
      <c r="B53" s="134">
        <v>1882.03</v>
      </c>
      <c r="C53" s="160">
        <v>6000</v>
      </c>
      <c r="D53" s="30">
        <f>+Disbursements!R128</f>
        <v>1085</v>
      </c>
      <c r="E53" s="132">
        <f t="shared" si="0"/>
        <v>4915</v>
      </c>
      <c r="F53" s="131" t="s">
        <v>463</v>
      </c>
    </row>
    <row r="54" spans="1:17" s="8" customFormat="1" ht="14.25">
      <c r="A54" s="146" t="s">
        <v>320</v>
      </c>
      <c r="B54" s="134">
        <v>359.8</v>
      </c>
      <c r="C54" s="160">
        <v>500</v>
      </c>
      <c r="D54" s="30">
        <f>+Disbursements!Z128</f>
        <v>0</v>
      </c>
      <c r="E54" s="132">
        <f t="shared" si="0"/>
        <v>500</v>
      </c>
    </row>
    <row r="55" spans="1:17" s="93" customFormat="1" ht="14.25">
      <c r="A55" s="146" t="s">
        <v>135</v>
      </c>
      <c r="B55" s="134">
        <v>2100</v>
      </c>
      <c r="C55" s="160">
        <v>2000</v>
      </c>
      <c r="D55" s="180">
        <f>+Disbursements!AA128</f>
        <v>0</v>
      </c>
      <c r="E55" s="132">
        <f t="shared" si="0"/>
        <v>2000</v>
      </c>
    </row>
    <row r="56" spans="1:17" s="93" customFormat="1" ht="14.25">
      <c r="A56" s="146" t="s">
        <v>11</v>
      </c>
      <c r="B56" s="134">
        <v>500</v>
      </c>
      <c r="C56" s="160">
        <v>0</v>
      </c>
      <c r="D56" s="134">
        <f>+Disbursements!U128</f>
        <v>500</v>
      </c>
      <c r="E56" s="132">
        <f t="shared" si="0"/>
        <v>-500</v>
      </c>
    </row>
    <row r="57" spans="1:17" s="8" customFormat="1" ht="14.25">
      <c r="A57" s="146" t="s">
        <v>9</v>
      </c>
      <c r="B57" s="249">
        <v>4000</v>
      </c>
      <c r="C57" s="161">
        <v>3560</v>
      </c>
      <c r="D57" s="48">
        <f>+Disbursements!O128</f>
        <v>0</v>
      </c>
      <c r="E57" s="22">
        <f t="shared" si="0"/>
        <v>3560</v>
      </c>
    </row>
    <row r="58" spans="1:17" ht="15">
      <c r="A58" s="146" t="s">
        <v>14</v>
      </c>
      <c r="B58" s="143">
        <v>44275.340000000004</v>
      </c>
      <c r="C58" s="162">
        <f>SUM(C25:C57)</f>
        <v>66337.11</v>
      </c>
      <c r="D58" s="162">
        <f>SUM(D25:D57)</f>
        <v>27114.19</v>
      </c>
      <c r="E58" s="162">
        <f>SUM(E25:E57)</f>
        <v>39222.92</v>
      </c>
    </row>
    <row r="59" spans="1:17" ht="15.75" thickBot="1">
      <c r="A59" s="146" t="s">
        <v>321</v>
      </c>
      <c r="B59" s="253">
        <v>8898.1139999999941</v>
      </c>
      <c r="C59" s="163">
        <f>+C21-C58</f>
        <v>4.0000000008149073E-3</v>
      </c>
      <c r="D59" s="163">
        <f>+D21-D58</f>
        <v>50392.483999999997</v>
      </c>
      <c r="E59" s="163"/>
      <c r="F59" s="132"/>
    </row>
    <row r="60" spans="1:17" ht="13.5" thickTop="1">
      <c r="A60" s="148"/>
      <c r="C60" s="148"/>
      <c r="E60" s="130"/>
    </row>
    <row r="61" spans="1:17">
      <c r="A61" s="1"/>
      <c r="B61" s="122"/>
      <c r="C61" s="148"/>
      <c r="D61" s="15"/>
      <c r="E61" s="13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>
      <c r="A62" s="164"/>
      <c r="B62" s="254"/>
      <c r="C62" s="165"/>
      <c r="D62" s="165"/>
      <c r="E62" s="165"/>
      <c r="F62" s="16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 thickBot="1">
      <c r="A63" s="166" t="s">
        <v>322</v>
      </c>
      <c r="B63" s="255"/>
      <c r="C63" s="167"/>
      <c r="D63" s="167"/>
      <c r="E63" s="240"/>
    </row>
    <row r="64" spans="1:17">
      <c r="A64" s="116" t="s">
        <v>313</v>
      </c>
      <c r="B64" s="256"/>
      <c r="C64" s="132">
        <f>SUM(C25:C31)</f>
        <v>14600</v>
      </c>
      <c r="D64" s="132">
        <f>SUM(D25:D31)</f>
        <v>800</v>
      </c>
      <c r="E64" s="132">
        <f t="shared" si="0"/>
        <v>13800</v>
      </c>
    </row>
    <row r="65" spans="1:6">
      <c r="A65" s="168" t="s">
        <v>315</v>
      </c>
      <c r="B65" s="257"/>
      <c r="C65" s="132">
        <f>SUM(C34:C50)</f>
        <v>39677.11</v>
      </c>
      <c r="D65" s="132">
        <f>SUM(D34:D50)</f>
        <v>24729.19</v>
      </c>
      <c r="E65" s="132">
        <f t="shared" si="0"/>
        <v>14947.920000000002</v>
      </c>
    </row>
    <row r="66" spans="1:6">
      <c r="A66" s="169" t="s">
        <v>62</v>
      </c>
      <c r="B66" s="258"/>
      <c r="C66" s="170">
        <f>SUM(C53:C57)</f>
        <v>12060</v>
      </c>
      <c r="D66" s="170">
        <f>SUM(D53:D57)</f>
        <v>1585</v>
      </c>
      <c r="E66" s="132">
        <f t="shared" si="0"/>
        <v>10475</v>
      </c>
    </row>
    <row r="67" spans="1:6" ht="13.5" thickBot="1">
      <c r="A67" s="153"/>
      <c r="B67" s="131"/>
      <c r="C67" s="171">
        <f>SUM(C64:C66)</f>
        <v>66337.11</v>
      </c>
      <c r="D67" s="171">
        <f>SUM(D64:D66)</f>
        <v>27114.19</v>
      </c>
      <c r="E67" s="239">
        <f t="shared" si="0"/>
        <v>39222.92</v>
      </c>
    </row>
    <row r="68" spans="1:6" ht="13.5" thickTop="1">
      <c r="D68" s="130"/>
    </row>
    <row r="69" spans="1:6" s="130" customFormat="1">
      <c r="A69" s="117"/>
      <c r="B69" s="248"/>
      <c r="C69"/>
    </row>
    <row r="70" spans="1:6" s="130" customFormat="1">
      <c r="A70" s="247" t="s">
        <v>417</v>
      </c>
      <c r="B70" s="248"/>
      <c r="C70"/>
    </row>
    <row r="71" spans="1:6">
      <c r="A71" s="117" t="s">
        <v>418</v>
      </c>
      <c r="B71" s="259">
        <v>300</v>
      </c>
    </row>
    <row r="72" spans="1:6">
      <c r="B72" s="259"/>
      <c r="C72" s="130"/>
    </row>
    <row r="73" spans="1:6">
      <c r="B73" s="259"/>
      <c r="C73" s="130"/>
    </row>
    <row r="74" spans="1:6">
      <c r="A74" s="123"/>
      <c r="B74" s="260"/>
    </row>
    <row r="75" spans="1:6" ht="13.5" thickBot="1">
      <c r="A75" s="248" t="s">
        <v>419</v>
      </c>
      <c r="B75" s="261">
        <f>SUM(B71:B74)</f>
        <v>300</v>
      </c>
      <c r="C75" t="b">
        <f>+B75=D35</f>
        <v>1</v>
      </c>
      <c r="F75" s="132"/>
    </row>
    <row r="76" spans="1:6" ht="13.5" thickTop="1"/>
    <row r="77" spans="1:6" ht="13.5" thickBot="1"/>
    <row r="78" spans="1:6" ht="12.75" customHeight="1" thickTop="1">
      <c r="A78" s="262" t="s">
        <v>299</v>
      </c>
      <c r="B78" s="263"/>
    </row>
    <row r="79" spans="1:6" ht="12.75" customHeight="1">
      <c r="A79" s="264" t="s">
        <v>416</v>
      </c>
      <c r="B79" s="265">
        <v>3600</v>
      </c>
    </row>
    <row r="80" spans="1:6" ht="12.75" customHeight="1">
      <c r="A80" s="264" t="s">
        <v>316</v>
      </c>
      <c r="B80" s="265">
        <v>500</v>
      </c>
    </row>
    <row r="81" spans="1:6" s="130" customFormat="1" ht="12.75" customHeight="1">
      <c r="A81" s="266" t="s">
        <v>395</v>
      </c>
      <c r="B81" s="267">
        <v>475</v>
      </c>
    </row>
    <row r="82" spans="1:6" s="130" customFormat="1" ht="12.75" customHeight="1">
      <c r="A82" s="266" t="s">
        <v>396</v>
      </c>
      <c r="B82" s="267">
        <v>400</v>
      </c>
    </row>
    <row r="83" spans="1:6" ht="12.75" customHeight="1">
      <c r="A83" s="266" t="s">
        <v>397</v>
      </c>
      <c r="B83" s="267">
        <v>460</v>
      </c>
    </row>
    <row r="84" spans="1:6" ht="12.75" customHeight="1">
      <c r="A84" s="266" t="s">
        <v>395</v>
      </c>
      <c r="B84" s="267">
        <v>92.95</v>
      </c>
    </row>
    <row r="85" spans="1:6" s="130" customFormat="1" ht="12.75" customHeight="1">
      <c r="A85" s="266" t="s">
        <v>402</v>
      </c>
      <c r="B85" s="268">
        <v>735</v>
      </c>
    </row>
    <row r="86" spans="1:6" s="130" customFormat="1" ht="12.75" customHeight="1">
      <c r="A86" s="266" t="s">
        <v>401</v>
      </c>
      <c r="B86" s="268">
        <v>158</v>
      </c>
    </row>
    <row r="87" spans="1:6" s="130" customFormat="1" ht="12.75" customHeight="1">
      <c r="A87" s="266" t="s">
        <v>403</v>
      </c>
      <c r="B87" s="268">
        <v>119.83</v>
      </c>
    </row>
    <row r="88" spans="1:6" s="130" customFormat="1" ht="12.75" customHeight="1">
      <c r="A88" s="266"/>
      <c r="B88" s="269"/>
    </row>
    <row r="89" spans="1:6" ht="13.5" customHeight="1" thickBot="1">
      <c r="A89" s="264" t="s">
        <v>420</v>
      </c>
      <c r="B89" s="270">
        <f>SUM(B79:B88)</f>
        <v>6540.78</v>
      </c>
      <c r="F89" s="132"/>
    </row>
    <row r="90" spans="1:6" ht="13.5" thickTop="1">
      <c r="A90" s="271"/>
      <c r="B90" s="269"/>
    </row>
    <row r="91" spans="1:6">
      <c r="A91" s="276" t="s">
        <v>421</v>
      </c>
      <c r="B91" s="277">
        <f>+Budget!I63</f>
        <v>5148.8500000000004</v>
      </c>
      <c r="D91" s="132"/>
    </row>
    <row r="92" spans="1:6">
      <c r="A92" s="264" t="s">
        <v>439</v>
      </c>
      <c r="B92" s="269"/>
    </row>
    <row r="93" spans="1:6">
      <c r="A93" s="264" t="s">
        <v>416</v>
      </c>
      <c r="B93" s="265">
        <v>3600</v>
      </c>
    </row>
    <row r="94" spans="1:6">
      <c r="A94" s="264" t="s">
        <v>316</v>
      </c>
      <c r="B94" s="272">
        <v>500</v>
      </c>
    </row>
    <row r="95" spans="1:6" ht="13.5" thickBot="1">
      <c r="A95" s="264" t="s">
        <v>440</v>
      </c>
      <c r="B95" s="273">
        <f>+B91-B93-B94</f>
        <v>1048.8500000000004</v>
      </c>
    </row>
    <row r="96" spans="1:6" ht="14.25" thickTop="1" thickBot="1">
      <c r="A96" s="274"/>
      <c r="B96" s="275"/>
    </row>
    <row r="97" spans="1:5" ht="13.5" thickTop="1">
      <c r="E97" s="132"/>
    </row>
    <row r="98" spans="1:5">
      <c r="A98" s="247" t="s">
        <v>62</v>
      </c>
      <c r="B98" s="259"/>
    </row>
    <row r="99" spans="1:5">
      <c r="A99" s="278" t="s">
        <v>461</v>
      </c>
      <c r="B99" s="259">
        <v>85</v>
      </c>
    </row>
    <row r="100" spans="1:5">
      <c r="A100" s="278" t="s">
        <v>285</v>
      </c>
      <c r="B100" s="259">
        <v>1000</v>
      </c>
    </row>
    <row r="101" spans="1:5">
      <c r="B101" s="259"/>
    </row>
    <row r="102" spans="1:5">
      <c r="B102" s="259"/>
    </row>
    <row r="103" spans="1:5" ht="13.5" thickBot="1">
      <c r="A103" s="148" t="s">
        <v>462</v>
      </c>
      <c r="B103" s="261">
        <f>SUM(B99:B102)</f>
        <v>1085</v>
      </c>
      <c r="C103" t="b">
        <f>+B103=D53</f>
        <v>1</v>
      </c>
    </row>
    <row r="104" spans="1:5" ht="13.5" thickTop="1">
      <c r="B104" s="259"/>
    </row>
    <row r="105" spans="1:5">
      <c r="B105" s="259"/>
    </row>
    <row r="106" spans="1:5">
      <c r="B106" s="259"/>
    </row>
    <row r="107" spans="1:5">
      <c r="B107" s="259"/>
    </row>
    <row r="108" spans="1:5">
      <c r="B108" s="259"/>
    </row>
    <row r="109" spans="1:5">
      <c r="B109" s="259"/>
    </row>
    <row r="110" spans="1:5">
      <c r="B110" s="259"/>
    </row>
    <row r="111" spans="1:5">
      <c r="B111" s="259"/>
    </row>
    <row r="112" spans="1:5">
      <c r="B112" s="259"/>
    </row>
    <row r="113" spans="2:2">
      <c r="B113" s="259"/>
    </row>
    <row r="114" spans="2:2">
      <c r="B114" s="259"/>
    </row>
    <row r="115" spans="2:2">
      <c r="B115" s="259"/>
    </row>
    <row r="116" spans="2:2">
      <c r="B116" s="259"/>
    </row>
    <row r="117" spans="2:2">
      <c r="B117" s="259"/>
    </row>
    <row r="118" spans="2:2">
      <c r="B118" s="259"/>
    </row>
    <row r="119" spans="2:2">
      <c r="B119" s="259"/>
    </row>
    <row r="120" spans="2:2">
      <c r="B120" s="259"/>
    </row>
    <row r="121" spans="2:2">
      <c r="B121" s="259"/>
    </row>
    <row r="122" spans="2:2">
      <c r="B122" s="259"/>
    </row>
    <row r="123" spans="2:2">
      <c r="B123" s="259"/>
    </row>
    <row r="124" spans="2:2">
      <c r="B124" s="259"/>
    </row>
    <row r="125" spans="2:2">
      <c r="B125" s="259"/>
    </row>
    <row r="126" spans="2:2">
      <c r="B126" s="259"/>
    </row>
    <row r="127" spans="2:2">
      <c r="B127" s="259"/>
    </row>
    <row r="128" spans="2:2">
      <c r="B128" s="259"/>
    </row>
    <row r="129" spans="2:2">
      <c r="B129" s="259"/>
    </row>
  </sheetData>
  <mergeCells count="4">
    <mergeCell ref="A1:E1"/>
    <mergeCell ref="A2:E2"/>
    <mergeCell ref="A3:E3"/>
    <mergeCell ref="A4:E4"/>
  </mergeCells>
  <printOptions gridLines="1"/>
  <pageMargins left="0.75" right="0.75" top="0.37" bottom="0.27" header="0.28000000000000003" footer="0.24"/>
  <pageSetup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5"/>
  <sheetViews>
    <sheetView workbookViewId="0">
      <selection activeCell="B8" sqref="B8"/>
    </sheetView>
  </sheetViews>
  <sheetFormatPr defaultRowHeight="12.75"/>
  <cols>
    <col min="1" max="1" width="30.85546875" customWidth="1"/>
    <col min="2" max="2" width="11.85546875" bestFit="1" customWidth="1"/>
    <col min="3" max="3" width="9.42578125" customWidth="1"/>
    <col min="4" max="4" width="9.7109375" bestFit="1" customWidth="1"/>
  </cols>
  <sheetData>
    <row r="1" spans="1:8">
      <c r="A1" s="2" t="s">
        <v>30</v>
      </c>
    </row>
    <row r="4" spans="1:8">
      <c r="A4" s="16" t="s">
        <v>136</v>
      </c>
      <c r="B4" s="17"/>
      <c r="D4" s="130" t="s">
        <v>307</v>
      </c>
      <c r="E4" s="130" t="s">
        <v>308</v>
      </c>
    </row>
    <row r="5" spans="1:8">
      <c r="A5" s="131" t="s">
        <v>310</v>
      </c>
      <c r="B5" s="141">
        <v>14533.03</v>
      </c>
    </row>
    <row r="6" spans="1:8">
      <c r="A6" t="s">
        <v>65</v>
      </c>
      <c r="B6" s="17">
        <f>Deposits!B89</f>
        <v>50485.06</v>
      </c>
    </row>
    <row r="7" spans="1:8">
      <c r="A7" t="s">
        <v>33</v>
      </c>
      <c r="B7" s="22">
        <f>-Disbursements!C128</f>
        <v>-38982.61</v>
      </c>
    </row>
    <row r="8" spans="1:8">
      <c r="A8" t="s">
        <v>57</v>
      </c>
      <c r="B8" s="17">
        <f>SUM(B5:B7)</f>
        <v>26035.479999999996</v>
      </c>
      <c r="C8" s="17"/>
      <c r="D8" s="17">
        <f>+'bank rec Oct'!E5</f>
        <v>26035.479999999996</v>
      </c>
      <c r="E8" s="133">
        <f>+D8-B8</f>
        <v>0</v>
      </c>
      <c r="F8" s="130"/>
    </row>
    <row r="9" spans="1:8">
      <c r="B9" s="17"/>
      <c r="C9" s="17"/>
    </row>
    <row r="10" spans="1:8">
      <c r="B10" s="17"/>
      <c r="C10" s="17"/>
    </row>
    <row r="11" spans="1:8">
      <c r="A11" s="16" t="s">
        <v>31</v>
      </c>
      <c r="C11" s="17"/>
    </row>
    <row r="12" spans="1:8">
      <c r="A12" s="131" t="s">
        <v>310</v>
      </c>
      <c r="B12" s="17">
        <v>81918.3</v>
      </c>
      <c r="C12" s="17"/>
    </row>
    <row r="13" spans="1:8">
      <c r="A13" t="s">
        <v>2</v>
      </c>
      <c r="B13" s="17">
        <f>+H29</f>
        <v>40.5</v>
      </c>
      <c r="D13" t="s">
        <v>304</v>
      </c>
    </row>
    <row r="14" spans="1:8">
      <c r="A14" t="s">
        <v>205</v>
      </c>
      <c r="B14" s="142">
        <f>SUM('Sch Fund'!B68:B72)</f>
        <v>-28.66399999999998</v>
      </c>
    </row>
    <row r="15" spans="1:8">
      <c r="A15" t="s">
        <v>56</v>
      </c>
      <c r="B15" s="18">
        <f>-Deposits!S89</f>
        <v>0</v>
      </c>
    </row>
    <row r="16" spans="1:8">
      <c r="A16" t="s">
        <v>57</v>
      </c>
      <c r="B16" s="17">
        <f>SUM(B12:B15)</f>
        <v>81930.135999999999</v>
      </c>
      <c r="D16" s="17">
        <v>80126.05</v>
      </c>
      <c r="E16" s="133">
        <f>+D16-B16</f>
        <v>-1804.0859999999957</v>
      </c>
      <c r="G16" s="130"/>
      <c r="H16" s="130" t="s">
        <v>2</v>
      </c>
    </row>
    <row r="17" spans="2:8">
      <c r="G17" s="135">
        <v>41486</v>
      </c>
      <c r="H17">
        <v>10.86</v>
      </c>
    </row>
    <row r="18" spans="2:8">
      <c r="G18" s="135">
        <v>41517</v>
      </c>
      <c r="H18">
        <v>9.8800000000000008</v>
      </c>
    </row>
    <row r="19" spans="2:8">
      <c r="G19" s="135">
        <v>41547</v>
      </c>
      <c r="H19" s="136">
        <v>10.210000000000001</v>
      </c>
    </row>
    <row r="20" spans="2:8">
      <c r="B20" s="17"/>
      <c r="G20" s="135">
        <v>41578</v>
      </c>
      <c r="H20" s="136">
        <v>9.5500000000000007</v>
      </c>
    </row>
    <row r="21" spans="2:8">
      <c r="G21" s="135">
        <v>41608</v>
      </c>
      <c r="H21" s="137"/>
    </row>
    <row r="22" spans="2:8">
      <c r="G22" s="135">
        <v>41639</v>
      </c>
      <c r="H22" s="138"/>
    </row>
    <row r="23" spans="2:8">
      <c r="G23" s="135">
        <v>41305</v>
      </c>
      <c r="H23" s="138"/>
    </row>
    <row r="24" spans="2:8">
      <c r="G24" s="135">
        <v>41333</v>
      </c>
      <c r="H24" s="138"/>
    </row>
    <row r="25" spans="2:8">
      <c r="G25" s="135">
        <v>41364</v>
      </c>
      <c r="H25" s="138"/>
    </row>
    <row r="26" spans="2:8">
      <c r="G26" s="135">
        <v>41394</v>
      </c>
      <c r="H26" s="138"/>
    </row>
    <row r="27" spans="2:8">
      <c r="G27" s="135">
        <v>41425</v>
      </c>
      <c r="H27" s="132"/>
    </row>
    <row r="28" spans="2:8">
      <c r="G28" s="135">
        <v>41455</v>
      </c>
      <c r="H28" s="132"/>
    </row>
    <row r="29" spans="2:8">
      <c r="H29" s="132">
        <f>SUM(H17:H28)</f>
        <v>40.5</v>
      </c>
    </row>
    <row r="34" spans="7:8">
      <c r="G34" s="130"/>
      <c r="H34" s="132"/>
    </row>
    <row r="35" spans="7:8">
      <c r="G35" s="130"/>
      <c r="H35" s="132"/>
    </row>
  </sheetData>
  <phoneticPr fontId="6" type="noConversion"/>
  <pageMargins left="0.75" right="0.75" top="1" bottom="1" header="0.5" footer="0.5"/>
  <pageSetup orientation="portrait" horizontalDpi="3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>
      <selection activeCell="E17" sqref="E17"/>
    </sheetView>
  </sheetViews>
  <sheetFormatPr defaultRowHeight="12.75"/>
  <cols>
    <col min="2" max="2" width="24" customWidth="1"/>
    <col min="3" max="3" width="2.7109375" hidden="1" customWidth="1"/>
    <col min="4" max="4" width="11.28515625" bestFit="1" customWidth="1"/>
    <col min="5" max="5" width="19" bestFit="1" customWidth="1"/>
    <col min="6" max="6" width="11.28515625" bestFit="1" customWidth="1"/>
    <col min="7" max="7" width="10.140625" bestFit="1" customWidth="1"/>
    <col min="8" max="9" width="11.28515625" bestFit="1" customWidth="1"/>
  </cols>
  <sheetData>
    <row r="1" spans="1:13">
      <c r="A1" s="130"/>
      <c r="B1" s="130"/>
      <c r="C1" s="130"/>
      <c r="D1" s="130"/>
      <c r="E1" s="9" t="s">
        <v>17</v>
      </c>
      <c r="F1" s="1"/>
      <c r="G1" s="130"/>
      <c r="H1" s="130"/>
      <c r="I1" s="130"/>
      <c r="J1" s="130"/>
      <c r="K1" s="130"/>
      <c r="L1" s="130"/>
      <c r="M1" s="130"/>
    </row>
    <row r="2" spans="1:13">
      <c r="A2" s="130"/>
      <c r="B2" s="130"/>
      <c r="C2" s="130"/>
      <c r="D2" s="1"/>
      <c r="E2" s="10" t="s">
        <v>88</v>
      </c>
      <c r="F2" s="1"/>
      <c r="G2" s="130"/>
      <c r="H2" s="130"/>
      <c r="I2" s="130"/>
      <c r="J2" s="130"/>
      <c r="K2" s="130"/>
      <c r="L2" s="130"/>
      <c r="M2" s="130"/>
    </row>
    <row r="3" spans="1:1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>
      <c r="A4" s="130"/>
      <c r="B4" s="130"/>
      <c r="C4" s="130"/>
      <c r="D4" s="130"/>
      <c r="E4" s="6"/>
      <c r="F4" s="130"/>
      <c r="G4" s="130"/>
      <c r="H4" s="130"/>
      <c r="I4" s="130"/>
      <c r="J4" s="130"/>
      <c r="K4" s="130"/>
      <c r="L4" s="130"/>
      <c r="M4" s="130"/>
    </row>
    <row r="5" spans="1:13">
      <c r="A5" s="131" t="s">
        <v>434</v>
      </c>
      <c r="B5" s="130"/>
      <c r="C5" s="130"/>
      <c r="D5" s="130"/>
      <c r="E5" s="237">
        <f>29354.48+50+2207+450+2050+1200+1984-1000-225-10035</f>
        <v>26035.479999999996</v>
      </c>
      <c r="F5" s="130"/>
      <c r="G5" s="11"/>
      <c r="H5" s="243"/>
      <c r="I5" s="130"/>
      <c r="J5" s="130"/>
      <c r="K5" s="130"/>
      <c r="L5" s="130"/>
      <c r="M5" s="130"/>
    </row>
    <row r="6" spans="1:13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>
      <c r="A8" s="13" t="s">
        <v>18</v>
      </c>
      <c r="B8" s="13"/>
      <c r="C8" s="130"/>
      <c r="D8" s="130"/>
      <c r="E8" s="130"/>
      <c r="F8" s="130"/>
      <c r="G8" s="13" t="s">
        <v>19</v>
      </c>
      <c r="H8" s="13"/>
      <c r="I8" s="130"/>
      <c r="J8" s="130"/>
      <c r="K8" s="130"/>
      <c r="L8" s="130"/>
      <c r="M8" s="130"/>
    </row>
    <row r="9" spans="1:13">
      <c r="A9" s="1">
        <v>1510</v>
      </c>
      <c r="B9" s="131" t="s">
        <v>309</v>
      </c>
      <c r="C9" s="130"/>
      <c r="D9" s="238">
        <v>30</v>
      </c>
      <c r="E9" s="130"/>
      <c r="F9" s="130"/>
      <c r="G9" s="135" t="s">
        <v>24</v>
      </c>
      <c r="H9" s="136">
        <v>1984</v>
      </c>
      <c r="I9" s="130"/>
      <c r="J9" s="130"/>
      <c r="K9" s="130"/>
      <c r="L9" s="130"/>
      <c r="M9" s="130"/>
    </row>
    <row r="10" spans="1:13">
      <c r="A10" s="1">
        <v>1545</v>
      </c>
      <c r="B10" s="131" t="s">
        <v>456</v>
      </c>
      <c r="C10" s="130"/>
      <c r="D10" s="238">
        <v>10035</v>
      </c>
      <c r="E10" s="243"/>
      <c r="F10" s="130"/>
      <c r="G10" s="135"/>
      <c r="H10" s="136"/>
      <c r="I10" s="130"/>
      <c r="J10" s="130"/>
      <c r="K10" s="130"/>
      <c r="L10" s="130"/>
      <c r="M10" s="130"/>
    </row>
    <row r="11" spans="1:13">
      <c r="A11" s="1"/>
      <c r="B11" s="130"/>
      <c r="E11" s="130"/>
      <c r="F11" s="130"/>
      <c r="G11" s="135"/>
      <c r="H11" s="136"/>
      <c r="I11" s="130"/>
      <c r="J11" s="130"/>
      <c r="K11" s="130"/>
      <c r="L11" s="130"/>
      <c r="M11" s="130"/>
    </row>
    <row r="12" spans="1:13" ht="13.5" thickBot="1">
      <c r="A12" s="1"/>
      <c r="B12" s="153"/>
      <c r="C12" s="130"/>
      <c r="D12" s="238"/>
      <c r="E12" s="243"/>
      <c r="F12" s="243"/>
      <c r="G12" s="130"/>
      <c r="H12" s="12">
        <f>SUM(H9:H11)</f>
        <v>1984</v>
      </c>
      <c r="I12" s="130"/>
      <c r="J12" s="130"/>
      <c r="K12" s="130"/>
      <c r="L12" s="130"/>
      <c r="M12" s="130"/>
    </row>
    <row r="13" spans="1:13" ht="13.5" thickTop="1">
      <c r="A13" s="1"/>
      <c r="B13" s="153"/>
      <c r="C13" s="130"/>
      <c r="D13" s="238"/>
      <c r="E13" s="243"/>
      <c r="F13" s="243"/>
      <c r="G13" s="130"/>
      <c r="H13" s="7"/>
      <c r="I13" s="130"/>
      <c r="J13" s="130"/>
      <c r="K13" s="130"/>
      <c r="L13" s="130"/>
      <c r="M13" s="130"/>
    </row>
    <row r="14" spans="1:13">
      <c r="A14" s="1"/>
      <c r="B14" s="153"/>
      <c r="C14" s="130"/>
      <c r="D14" s="238"/>
      <c r="E14" s="243"/>
      <c r="F14" s="243"/>
      <c r="G14" s="130"/>
      <c r="H14" s="7"/>
      <c r="I14" s="130"/>
      <c r="J14" s="130"/>
      <c r="K14" s="130"/>
      <c r="L14" s="130"/>
      <c r="M14" s="130"/>
    </row>
    <row r="15" spans="1:13">
      <c r="A15" s="1"/>
      <c r="B15" s="153"/>
      <c r="C15" s="130"/>
      <c r="D15" s="238"/>
      <c r="E15" s="243"/>
      <c r="F15" s="243"/>
      <c r="G15" s="130"/>
      <c r="H15" s="7"/>
      <c r="I15" s="130"/>
      <c r="J15" s="130"/>
      <c r="K15" s="130"/>
      <c r="L15" s="130"/>
      <c r="M15" s="130"/>
    </row>
    <row r="16" spans="1:13">
      <c r="A16" s="1"/>
      <c r="B16" s="153"/>
      <c r="C16" s="130"/>
      <c r="D16" s="238"/>
      <c r="E16" s="243"/>
      <c r="F16" s="243"/>
      <c r="G16" s="130"/>
      <c r="H16" s="7"/>
      <c r="I16" s="130"/>
      <c r="J16" s="130"/>
      <c r="K16" s="130"/>
      <c r="L16" s="130"/>
      <c r="M16" s="130"/>
    </row>
    <row r="17" spans="1:13">
      <c r="A17" s="1"/>
      <c r="B17" s="131"/>
      <c r="C17" s="130"/>
      <c r="D17" s="238"/>
      <c r="E17" s="243"/>
      <c r="F17" s="243"/>
      <c r="G17" s="130"/>
      <c r="H17" s="7"/>
      <c r="I17" s="130"/>
      <c r="J17" s="130"/>
      <c r="K17" s="130"/>
      <c r="L17" s="130"/>
      <c r="M17" s="130"/>
    </row>
    <row r="18" spans="1:13">
      <c r="A18" s="1"/>
      <c r="B18" s="131"/>
      <c r="C18" s="130"/>
      <c r="D18" s="238"/>
      <c r="E18" s="243"/>
      <c r="F18" s="243"/>
      <c r="G18" s="130"/>
      <c r="H18" s="7"/>
      <c r="I18" s="130"/>
      <c r="J18" s="130"/>
      <c r="K18" s="130"/>
      <c r="L18" s="130"/>
      <c r="M18" s="130"/>
    </row>
    <row r="19" spans="1:13">
      <c r="A19" s="1"/>
      <c r="B19" s="131"/>
      <c r="C19" s="130"/>
      <c r="D19" s="238"/>
      <c r="E19" s="243"/>
      <c r="F19" s="243"/>
      <c r="G19" s="130"/>
      <c r="H19" s="7"/>
      <c r="I19" s="130"/>
      <c r="J19" s="130"/>
      <c r="K19" s="130"/>
      <c r="L19" s="130"/>
      <c r="M19" s="130"/>
    </row>
    <row r="20" spans="1:13">
      <c r="A20" s="1"/>
      <c r="B20" s="131"/>
      <c r="C20" s="130"/>
      <c r="D20" s="238"/>
      <c r="E20" s="243"/>
      <c r="F20" s="243"/>
      <c r="G20" s="130"/>
      <c r="H20" s="7"/>
      <c r="I20" s="130"/>
      <c r="J20" s="130"/>
      <c r="K20" s="130"/>
      <c r="L20" s="130"/>
      <c r="M20" s="130"/>
    </row>
    <row r="21" spans="1:13">
      <c r="A21" s="1"/>
      <c r="B21" s="131"/>
      <c r="C21" s="130"/>
      <c r="D21" s="238"/>
      <c r="E21" s="243"/>
      <c r="F21" s="243"/>
      <c r="G21" s="130"/>
      <c r="H21" s="7"/>
      <c r="I21" s="130"/>
      <c r="J21" s="130"/>
      <c r="K21" s="130"/>
      <c r="L21" s="130"/>
      <c r="M21" s="130"/>
    </row>
    <row r="22" spans="1:13">
      <c r="A22" s="130"/>
      <c r="B22" s="130"/>
      <c r="C22" s="130"/>
      <c r="D22" s="130"/>
      <c r="E22" s="243"/>
      <c r="F22" s="243"/>
      <c r="G22" s="130"/>
      <c r="H22" s="7"/>
      <c r="I22" s="130"/>
      <c r="J22" s="130"/>
      <c r="K22" s="130"/>
      <c r="L22" s="130"/>
      <c r="M22" s="130"/>
    </row>
    <row r="23" spans="1:13">
      <c r="A23" s="130"/>
      <c r="B23" s="130"/>
      <c r="C23" s="130"/>
      <c r="D23" s="130"/>
      <c r="E23" s="243"/>
      <c r="F23" s="243"/>
      <c r="G23" s="130"/>
      <c r="H23" s="7"/>
      <c r="I23" s="130"/>
      <c r="J23" s="130"/>
      <c r="K23" s="130"/>
      <c r="L23" s="130"/>
      <c r="M23" s="130"/>
    </row>
    <row r="24" spans="1:13">
      <c r="A24" s="1"/>
      <c r="B24" s="130"/>
      <c r="C24" s="130"/>
      <c r="D24" s="136"/>
      <c r="E24" s="243"/>
      <c r="F24" s="243"/>
      <c r="G24" s="130"/>
      <c r="H24" s="130"/>
      <c r="I24" s="130"/>
      <c r="J24" s="130"/>
      <c r="K24" s="130"/>
      <c r="L24" s="130"/>
      <c r="M24" s="130"/>
    </row>
    <row r="25" spans="1:13">
      <c r="A25" s="1"/>
      <c r="B25" s="130"/>
      <c r="C25" s="130"/>
      <c r="D25" s="238"/>
      <c r="E25" s="243"/>
      <c r="F25" s="243"/>
      <c r="G25" s="130"/>
      <c r="H25" s="130"/>
      <c r="I25" s="130"/>
      <c r="J25" s="130"/>
      <c r="K25" s="130"/>
      <c r="L25" s="130"/>
      <c r="M25" s="130"/>
    </row>
    <row r="26" spans="1:13" ht="13.5" thickBot="1">
      <c r="A26" s="130"/>
      <c r="B26" s="130"/>
      <c r="C26" s="130"/>
      <c r="D26" s="92">
        <f>SUM(D9:D24)</f>
        <v>10065</v>
      </c>
      <c r="E26" s="243"/>
      <c r="F26" s="243"/>
      <c r="G26" s="130"/>
      <c r="H26" s="7"/>
      <c r="I26" s="130"/>
      <c r="J26" s="130"/>
      <c r="K26" s="130"/>
      <c r="L26" s="130"/>
      <c r="M26" s="130"/>
    </row>
    <row r="27" spans="1:13" ht="13.5" thickTop="1">
      <c r="A27" s="130"/>
      <c r="B27" s="130"/>
      <c r="C27" s="130"/>
      <c r="D27" s="137"/>
      <c r="E27" s="243"/>
      <c r="F27" s="243"/>
      <c r="G27" s="130"/>
      <c r="H27" s="7"/>
      <c r="I27" s="130"/>
      <c r="J27" s="130"/>
      <c r="K27" s="130"/>
      <c r="L27" s="130"/>
      <c r="M27" s="130"/>
    </row>
    <row r="28" spans="1:13">
      <c r="A28" s="130"/>
      <c r="B28" s="130"/>
      <c r="C28" s="130"/>
      <c r="D28" s="130"/>
      <c r="E28" s="243"/>
      <c r="F28" s="4"/>
      <c r="G28" s="130"/>
      <c r="H28" s="130"/>
      <c r="I28" s="130"/>
      <c r="J28" s="130"/>
      <c r="K28" s="130"/>
      <c r="L28" s="130"/>
      <c r="M28" s="130"/>
    </row>
    <row r="29" spans="1:13">
      <c r="A29" s="130"/>
      <c r="B29" s="130"/>
      <c r="C29" s="130"/>
      <c r="D29" s="130"/>
      <c r="E29" s="243"/>
      <c r="F29" s="130"/>
      <c r="G29" s="130"/>
      <c r="H29" s="130"/>
      <c r="I29" s="130"/>
      <c r="J29" s="130"/>
      <c r="K29" s="130"/>
      <c r="L29" s="130"/>
      <c r="M29" s="130"/>
    </row>
    <row r="30" spans="1:13">
      <c r="A30" s="130"/>
      <c r="B30" s="130"/>
      <c r="C30" s="130"/>
      <c r="D30" s="130"/>
      <c r="E30" s="243"/>
      <c r="F30" s="130"/>
      <c r="G30" s="130"/>
      <c r="H30" s="130"/>
      <c r="I30" s="130"/>
      <c r="J30" s="130"/>
      <c r="K30" s="130"/>
      <c r="L30" s="130"/>
      <c r="M30" s="130"/>
    </row>
    <row r="31" spans="1:13">
      <c r="A31" s="130"/>
      <c r="B31" s="130"/>
      <c r="C31" s="130"/>
      <c r="D31" s="130"/>
      <c r="E31" s="243"/>
      <c r="F31" s="130"/>
      <c r="G31" s="130"/>
      <c r="H31" s="130"/>
      <c r="I31" s="130"/>
      <c r="J31" s="130"/>
      <c r="K31" s="130"/>
      <c r="L31" s="130"/>
      <c r="M31" s="130"/>
    </row>
    <row r="32" spans="1:13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</row>
    <row r="33" spans="1:13">
      <c r="A33" s="130" t="s">
        <v>27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</row>
    <row r="34" spans="1:13">
      <c r="A34" s="130"/>
      <c r="B34" s="130"/>
      <c r="C34" s="130"/>
      <c r="D34" s="130"/>
      <c r="E34" s="4">
        <v>34116.480000000003</v>
      </c>
      <c r="F34" s="130" t="s">
        <v>20</v>
      </c>
      <c r="G34" s="130"/>
      <c r="H34" s="130"/>
      <c r="I34" s="130"/>
      <c r="J34" s="130"/>
      <c r="K34" s="130"/>
      <c r="L34" s="130"/>
      <c r="M34" s="130"/>
    </row>
    <row r="35" spans="1:13">
      <c r="A35" s="130"/>
      <c r="B35" s="130"/>
      <c r="C35" s="130"/>
      <c r="D35" s="130"/>
      <c r="E35" s="4">
        <f>D26</f>
        <v>10065</v>
      </c>
      <c r="F35" s="130" t="s">
        <v>21</v>
      </c>
      <c r="G35" s="130"/>
      <c r="H35" s="130"/>
      <c r="I35" s="130"/>
      <c r="J35" s="130"/>
      <c r="K35" s="130"/>
      <c r="L35" s="130"/>
      <c r="M35" s="130"/>
    </row>
    <row r="36" spans="1:13">
      <c r="A36" s="130"/>
      <c r="B36" s="130"/>
      <c r="C36" s="130"/>
      <c r="D36" s="130"/>
      <c r="E36" s="4">
        <f>H12</f>
        <v>1984</v>
      </c>
      <c r="F36" s="130" t="s">
        <v>22</v>
      </c>
      <c r="G36" s="130"/>
      <c r="H36" s="130"/>
      <c r="I36" s="130"/>
      <c r="J36" s="130"/>
      <c r="K36" s="130"/>
      <c r="L36" s="130"/>
      <c r="M36" s="130"/>
    </row>
    <row r="37" spans="1:13" ht="13.5" thickBot="1">
      <c r="A37" s="130"/>
      <c r="B37" s="130"/>
      <c r="C37" s="130"/>
      <c r="D37" s="130"/>
      <c r="E37" s="12">
        <f>E34-E35+E36</f>
        <v>26035.480000000003</v>
      </c>
      <c r="F37" s="130" t="s">
        <v>23</v>
      </c>
      <c r="G37" s="130"/>
      <c r="H37" s="130"/>
      <c r="I37" s="130"/>
      <c r="J37" s="130"/>
      <c r="K37" s="130"/>
      <c r="L37" s="130"/>
      <c r="M37" s="130"/>
    </row>
    <row r="38" spans="1:13" ht="13.5" thickTop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39" spans="1:13">
      <c r="A39" s="130"/>
      <c r="B39" s="130"/>
      <c r="C39" s="130"/>
      <c r="D39" s="130"/>
      <c r="E39" s="4">
        <f>E5-E37</f>
        <v>0</v>
      </c>
      <c r="F39" s="130"/>
      <c r="G39" s="130"/>
      <c r="H39" s="130"/>
      <c r="I39" s="130"/>
      <c r="J39" s="130"/>
      <c r="K39" s="130"/>
      <c r="L39" s="130"/>
      <c r="M39" s="130"/>
    </row>
    <row r="40" spans="1:13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</row>
  </sheetData>
  <pageMargins left="0.75" right="0.7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2"/>
  <sheetViews>
    <sheetView topLeftCell="A4" workbookViewId="0">
      <pane xSplit="2" ySplit="1" topLeftCell="L5" activePane="bottomRight" state="frozen"/>
      <selection activeCell="A4" sqref="A4"/>
      <selection pane="topRight" activeCell="C4" sqref="C4"/>
      <selection pane="bottomLeft" activeCell="A5" sqref="A5"/>
      <selection pane="bottomRight" activeCell="C9" sqref="C9"/>
    </sheetView>
  </sheetViews>
  <sheetFormatPr defaultRowHeight="12.75"/>
  <cols>
    <col min="1" max="1" width="12" style="52" customWidth="1"/>
    <col min="2" max="2" width="12.28515625" style="30" customWidth="1"/>
    <col min="3" max="3" width="11" style="30" customWidth="1"/>
    <col min="4" max="4" width="9.28515625" style="30" bestFit="1" customWidth="1"/>
    <col min="5" max="5" width="10.28515625" style="30" customWidth="1"/>
    <col min="6" max="6" width="10.85546875" style="30" customWidth="1"/>
    <col min="7" max="7" width="10.28515625" style="30" bestFit="1" customWidth="1"/>
    <col min="8" max="10" width="10.28515625" style="30" customWidth="1"/>
    <col min="11" max="12" width="10.28515625" style="30" bestFit="1" customWidth="1"/>
    <col min="13" max="18" width="10.28515625" style="30" customWidth="1"/>
    <col min="19" max="19" width="10.85546875" style="30" bestFit="1" customWidth="1"/>
    <col min="20" max="20" width="40.7109375" style="30" customWidth="1"/>
    <col min="21" max="23" width="9.140625" style="30"/>
    <col min="24" max="24" width="10.28515625" style="30" bestFit="1" customWidth="1"/>
    <col min="25" max="33" width="9.140625" style="30"/>
    <col min="34" max="16384" width="9.140625" style="8"/>
  </cols>
  <sheetData>
    <row r="1" spans="1:33">
      <c r="A1" s="53" t="s">
        <v>137</v>
      </c>
    </row>
    <row r="2" spans="1:33">
      <c r="A2" s="53" t="s">
        <v>32</v>
      </c>
    </row>
    <row r="3" spans="1:33">
      <c r="A3" s="53"/>
    </row>
    <row r="4" spans="1:33" s="101" customFormat="1" ht="51">
      <c r="A4" s="99" t="s">
        <v>34</v>
      </c>
      <c r="B4" s="100" t="s">
        <v>36</v>
      </c>
      <c r="C4" s="100" t="s">
        <v>52</v>
      </c>
      <c r="D4" s="100" t="s">
        <v>102</v>
      </c>
      <c r="E4" s="121" t="s">
        <v>299</v>
      </c>
      <c r="F4" s="121" t="s">
        <v>330</v>
      </c>
      <c r="G4" s="100" t="s">
        <v>24</v>
      </c>
      <c r="H4" s="100" t="s">
        <v>206</v>
      </c>
      <c r="I4" s="100" t="s">
        <v>269</v>
      </c>
      <c r="J4" s="100" t="s">
        <v>275</v>
      </c>
      <c r="K4" s="100" t="s">
        <v>59</v>
      </c>
      <c r="L4" s="100" t="s">
        <v>145</v>
      </c>
      <c r="M4" s="121" t="s">
        <v>404</v>
      </c>
      <c r="N4" s="121" t="s">
        <v>427</v>
      </c>
      <c r="O4" s="121" t="s">
        <v>426</v>
      </c>
      <c r="P4" s="121" t="s">
        <v>441</v>
      </c>
      <c r="Q4" s="121" t="s">
        <v>444</v>
      </c>
      <c r="R4" s="100" t="s">
        <v>291</v>
      </c>
      <c r="S4" s="100" t="s">
        <v>56</v>
      </c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</row>
    <row r="5" spans="1:33">
      <c r="A5" s="52">
        <v>41467</v>
      </c>
      <c r="B5" s="30">
        <v>480</v>
      </c>
      <c r="E5" s="30">
        <v>480</v>
      </c>
      <c r="T5" s="134" t="s">
        <v>299</v>
      </c>
    </row>
    <row r="6" spans="1:33">
      <c r="A6" s="52">
        <v>41487</v>
      </c>
      <c r="B6" s="30">
        <v>100</v>
      </c>
      <c r="L6" s="30">
        <v>100</v>
      </c>
      <c r="T6" s="134" t="s">
        <v>145</v>
      </c>
    </row>
    <row r="7" spans="1:33">
      <c r="A7" s="102">
        <v>41487</v>
      </c>
      <c r="B7" s="44">
        <v>100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>
        <v>100</v>
      </c>
      <c r="N7" s="44"/>
      <c r="O7" s="44"/>
      <c r="P7" s="44"/>
      <c r="Q7" s="44"/>
      <c r="R7" s="44"/>
      <c r="S7" s="44"/>
      <c r="T7" s="134" t="s">
        <v>449</v>
      </c>
    </row>
    <row r="8" spans="1:33">
      <c r="A8" s="102">
        <v>41487</v>
      </c>
      <c r="B8" s="44">
        <v>2328</v>
      </c>
      <c r="C8" s="44"/>
      <c r="D8" s="44"/>
      <c r="E8" s="44">
        <v>2328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134" t="s">
        <v>299</v>
      </c>
    </row>
    <row r="9" spans="1:33">
      <c r="A9" s="52">
        <v>41488</v>
      </c>
      <c r="B9" s="30">
        <v>622.13</v>
      </c>
      <c r="H9" s="30">
        <v>622.13</v>
      </c>
      <c r="T9" s="134" t="s">
        <v>298</v>
      </c>
    </row>
    <row r="10" spans="1:33">
      <c r="A10" s="52">
        <v>41502</v>
      </c>
      <c r="B10" s="30">
        <v>140.30000000000001</v>
      </c>
      <c r="H10" s="30">
        <v>140.30000000000001</v>
      </c>
      <c r="T10" s="134" t="s">
        <v>298</v>
      </c>
    </row>
    <row r="11" spans="1:33">
      <c r="A11" s="52">
        <v>41512</v>
      </c>
      <c r="B11" s="30">
        <v>360</v>
      </c>
      <c r="E11" s="30">
        <v>200</v>
      </c>
      <c r="L11" s="30">
        <v>160</v>
      </c>
      <c r="T11" s="134" t="s">
        <v>450</v>
      </c>
    </row>
    <row r="12" spans="1:33">
      <c r="A12" s="52">
        <v>41512</v>
      </c>
      <c r="B12" s="30">
        <v>640</v>
      </c>
      <c r="E12" s="30">
        <v>640</v>
      </c>
      <c r="T12" s="134" t="s">
        <v>299</v>
      </c>
    </row>
    <row r="13" spans="1:33">
      <c r="A13" s="107">
        <v>41514</v>
      </c>
      <c r="B13" s="104">
        <v>600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>
        <v>600</v>
      </c>
      <c r="N13" s="104"/>
      <c r="O13" s="104"/>
      <c r="P13" s="104"/>
      <c r="Q13" s="104"/>
      <c r="R13" s="104"/>
      <c r="S13" s="104"/>
      <c r="T13" s="140" t="s">
        <v>455</v>
      </c>
      <c r="U13" s="104"/>
    </row>
    <row r="14" spans="1:33">
      <c r="A14" s="52">
        <v>41514</v>
      </c>
      <c r="B14" s="30">
        <v>70.63</v>
      </c>
      <c r="L14" s="30">
        <v>70.63</v>
      </c>
      <c r="T14" s="134" t="s">
        <v>145</v>
      </c>
    </row>
    <row r="15" spans="1:33">
      <c r="A15" s="52">
        <v>41514</v>
      </c>
      <c r="B15" s="30">
        <v>750</v>
      </c>
      <c r="I15" s="30">
        <v>750</v>
      </c>
      <c r="T15" s="134" t="s">
        <v>269</v>
      </c>
    </row>
    <row r="16" spans="1:33">
      <c r="A16" s="52">
        <v>41534</v>
      </c>
      <c r="B16" s="30">
        <v>1030</v>
      </c>
      <c r="I16" s="30">
        <v>1030</v>
      </c>
      <c r="T16" s="134" t="s">
        <v>269</v>
      </c>
    </row>
    <row r="17" spans="1:20">
      <c r="A17" s="52">
        <v>41538</v>
      </c>
      <c r="B17" s="30">
        <v>3084</v>
      </c>
      <c r="I17" s="30">
        <v>3084</v>
      </c>
      <c r="T17" s="134" t="s">
        <v>269</v>
      </c>
    </row>
    <row r="18" spans="1:20">
      <c r="A18" s="52">
        <v>41544</v>
      </c>
      <c r="B18" s="30">
        <v>791</v>
      </c>
      <c r="I18" s="30">
        <v>791</v>
      </c>
      <c r="T18" s="134" t="s">
        <v>269</v>
      </c>
    </row>
    <row r="19" spans="1:20">
      <c r="A19" s="52">
        <v>41545</v>
      </c>
      <c r="B19" s="30">
        <v>540</v>
      </c>
      <c r="I19" s="30">
        <v>540</v>
      </c>
      <c r="T19" s="134" t="s">
        <v>269</v>
      </c>
    </row>
    <row r="20" spans="1:20">
      <c r="A20" s="52">
        <v>41552</v>
      </c>
      <c r="B20" s="30">
        <v>390</v>
      </c>
      <c r="I20" s="30">
        <v>390</v>
      </c>
      <c r="T20" s="134" t="s">
        <v>269</v>
      </c>
    </row>
    <row r="21" spans="1:20">
      <c r="A21" s="52">
        <v>41552</v>
      </c>
      <c r="B21" s="30">
        <v>200</v>
      </c>
      <c r="E21" s="30">
        <v>200</v>
      </c>
      <c r="T21" s="134" t="s">
        <v>299</v>
      </c>
    </row>
    <row r="22" spans="1:20">
      <c r="A22" s="52">
        <v>41552</v>
      </c>
      <c r="B22" s="30">
        <v>15000</v>
      </c>
      <c r="F22" s="30">
        <v>15000</v>
      </c>
      <c r="T22" s="134" t="s">
        <v>451</v>
      </c>
    </row>
    <row r="23" spans="1:20">
      <c r="A23" s="52">
        <v>41555</v>
      </c>
      <c r="B23" s="30">
        <v>250</v>
      </c>
      <c r="I23" s="30">
        <v>250</v>
      </c>
      <c r="T23" s="134" t="s">
        <v>269</v>
      </c>
    </row>
    <row r="24" spans="1:20">
      <c r="A24" s="52">
        <v>41557</v>
      </c>
      <c r="B24" s="30">
        <v>70</v>
      </c>
      <c r="J24" s="30">
        <v>70</v>
      </c>
      <c r="T24" s="134" t="s">
        <v>275</v>
      </c>
    </row>
    <row r="25" spans="1:20">
      <c r="A25" s="52">
        <v>41562</v>
      </c>
      <c r="B25" s="30">
        <v>1000</v>
      </c>
      <c r="F25" s="30">
        <v>1000</v>
      </c>
      <c r="T25" s="134" t="s">
        <v>451</v>
      </c>
    </row>
    <row r="26" spans="1:20">
      <c r="A26" s="52">
        <v>41571</v>
      </c>
      <c r="B26" s="30">
        <v>283</v>
      </c>
      <c r="L26" s="30">
        <v>283</v>
      </c>
      <c r="T26" s="134" t="s">
        <v>145</v>
      </c>
    </row>
    <row r="27" spans="1:20">
      <c r="A27" s="52">
        <v>41571</v>
      </c>
      <c r="B27" s="30">
        <v>850</v>
      </c>
      <c r="F27" s="30">
        <v>850</v>
      </c>
      <c r="T27" s="134" t="s">
        <v>452</v>
      </c>
    </row>
    <row r="28" spans="1:20">
      <c r="A28" s="52">
        <v>41578</v>
      </c>
      <c r="B28" s="30">
        <v>50</v>
      </c>
      <c r="E28" s="30">
        <v>50</v>
      </c>
      <c r="T28" s="134" t="s">
        <v>299</v>
      </c>
    </row>
    <row r="29" spans="1:20">
      <c r="A29" s="52">
        <v>41578</v>
      </c>
      <c r="B29" s="30">
        <v>100</v>
      </c>
      <c r="N29" s="30">
        <v>100</v>
      </c>
      <c r="T29" s="134" t="s">
        <v>435</v>
      </c>
    </row>
    <row r="30" spans="1:20">
      <c r="A30" s="52">
        <v>41578</v>
      </c>
      <c r="B30" s="30">
        <v>450</v>
      </c>
      <c r="F30" s="30">
        <v>450</v>
      </c>
      <c r="T30" s="134" t="s">
        <v>452</v>
      </c>
    </row>
    <row r="31" spans="1:20">
      <c r="A31" s="52">
        <v>41587</v>
      </c>
      <c r="B31" s="104">
        <v>2065</v>
      </c>
      <c r="N31" s="30">
        <v>1365</v>
      </c>
      <c r="O31" s="30">
        <v>200</v>
      </c>
      <c r="P31" s="30">
        <v>500</v>
      </c>
      <c r="T31" s="134" t="s">
        <v>435</v>
      </c>
    </row>
    <row r="32" spans="1:20">
      <c r="A32" s="52">
        <v>41587</v>
      </c>
      <c r="B32" s="104">
        <v>8300</v>
      </c>
      <c r="F32" s="30">
        <v>8300</v>
      </c>
      <c r="T32" s="134" t="s">
        <v>436</v>
      </c>
    </row>
    <row r="33" spans="1:20">
      <c r="A33" s="52">
        <v>41596</v>
      </c>
      <c r="B33" s="104">
        <v>950</v>
      </c>
      <c r="F33" s="30">
        <v>950</v>
      </c>
      <c r="T33" s="134" t="s">
        <v>436</v>
      </c>
    </row>
    <row r="34" spans="1:20">
      <c r="A34" s="52">
        <v>41599</v>
      </c>
      <c r="B34" s="104">
        <v>950</v>
      </c>
      <c r="F34" s="30">
        <v>950</v>
      </c>
      <c r="T34" s="134" t="s">
        <v>436</v>
      </c>
    </row>
    <row r="35" spans="1:20">
      <c r="A35" s="52">
        <v>41601</v>
      </c>
      <c r="B35" s="104">
        <v>50</v>
      </c>
      <c r="Q35" s="30">
        <v>50</v>
      </c>
      <c r="T35" s="134" t="s">
        <v>435</v>
      </c>
    </row>
    <row r="36" spans="1:20">
      <c r="A36" s="52">
        <v>41603</v>
      </c>
      <c r="B36" s="104">
        <v>2207</v>
      </c>
      <c r="N36" s="30">
        <v>450</v>
      </c>
      <c r="O36" s="30">
        <v>150</v>
      </c>
      <c r="Q36" s="30">
        <v>1607</v>
      </c>
      <c r="T36" s="134" t="s">
        <v>435</v>
      </c>
    </row>
    <row r="37" spans="1:20">
      <c r="A37" s="52">
        <v>41604</v>
      </c>
      <c r="B37" s="104">
        <v>450</v>
      </c>
      <c r="F37" s="30">
        <v>450</v>
      </c>
      <c r="T37" s="134" t="s">
        <v>436</v>
      </c>
    </row>
    <row r="38" spans="1:20">
      <c r="A38" s="52">
        <v>41604</v>
      </c>
      <c r="B38" s="104">
        <v>2050</v>
      </c>
      <c r="N38" s="30">
        <v>750</v>
      </c>
      <c r="O38" s="30">
        <v>50</v>
      </c>
      <c r="P38" s="30">
        <v>200</v>
      </c>
      <c r="Q38" s="30">
        <v>1050</v>
      </c>
      <c r="T38" s="134" t="s">
        <v>435</v>
      </c>
    </row>
    <row r="39" spans="1:20">
      <c r="A39" s="52">
        <v>41607</v>
      </c>
      <c r="B39" s="104">
        <v>1200</v>
      </c>
      <c r="F39" s="30">
        <v>1200</v>
      </c>
      <c r="T39" s="134" t="s">
        <v>436</v>
      </c>
    </row>
    <row r="40" spans="1:20">
      <c r="A40" s="52">
        <v>41607</v>
      </c>
      <c r="B40" s="104">
        <v>1984</v>
      </c>
      <c r="G40" s="30">
        <v>1984</v>
      </c>
      <c r="T40" s="134" t="s">
        <v>24</v>
      </c>
    </row>
    <row r="46" spans="1:20">
      <c r="T46" s="134"/>
    </row>
    <row r="78" spans="2:20">
      <c r="T78" s="118"/>
    </row>
    <row r="79" spans="2:20">
      <c r="B79" s="104"/>
      <c r="T79" s="134"/>
    </row>
    <row r="80" spans="2:20">
      <c r="B80" s="104"/>
      <c r="T80" s="118"/>
    </row>
    <row r="81" spans="1:33">
      <c r="B81" s="104"/>
      <c r="T81" s="118"/>
    </row>
    <row r="82" spans="1:33">
      <c r="B82" s="104"/>
      <c r="T82" s="118"/>
    </row>
    <row r="83" spans="1:33" s="123" customFormat="1">
      <c r="A83" s="107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40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1:33">
      <c r="B84" s="104"/>
      <c r="T84" s="118"/>
    </row>
    <row r="85" spans="1:33">
      <c r="B85" s="104"/>
      <c r="T85" s="118"/>
    </row>
    <row r="86" spans="1:33">
      <c r="B86" s="104"/>
      <c r="T86" s="134"/>
    </row>
    <row r="88" spans="1:33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33">
      <c r="B89" s="30">
        <f>SUM(B5:B88)</f>
        <v>50485.06</v>
      </c>
      <c r="C89" s="30">
        <f t="shared" ref="C89:S89" si="0">SUM(C5:C88)</f>
        <v>0</v>
      </c>
      <c r="D89" s="30">
        <f t="shared" si="0"/>
        <v>0</v>
      </c>
      <c r="E89" s="30">
        <f>SUM(E5:E88)</f>
        <v>3898</v>
      </c>
      <c r="F89" s="30">
        <f>SUM(F5:F88)</f>
        <v>29150</v>
      </c>
      <c r="G89" s="30">
        <f t="shared" si="0"/>
        <v>1984</v>
      </c>
      <c r="H89" s="30">
        <f t="shared" si="0"/>
        <v>762.43000000000006</v>
      </c>
      <c r="I89" s="30">
        <f t="shared" si="0"/>
        <v>6835</v>
      </c>
      <c r="J89" s="30">
        <f t="shared" si="0"/>
        <v>70</v>
      </c>
      <c r="K89" s="30">
        <f t="shared" si="0"/>
        <v>0</v>
      </c>
      <c r="L89" s="30">
        <f t="shared" si="0"/>
        <v>613.63</v>
      </c>
      <c r="M89" s="30">
        <f t="shared" si="0"/>
        <v>700</v>
      </c>
      <c r="N89" s="30">
        <f t="shared" si="0"/>
        <v>2665</v>
      </c>
      <c r="O89" s="30">
        <f t="shared" si="0"/>
        <v>400</v>
      </c>
      <c r="P89" s="30">
        <f t="shared" si="0"/>
        <v>700</v>
      </c>
      <c r="Q89" s="30">
        <f t="shared" si="0"/>
        <v>2707</v>
      </c>
      <c r="R89" s="30">
        <f t="shared" si="0"/>
        <v>0</v>
      </c>
      <c r="S89" s="30">
        <f t="shared" si="0"/>
        <v>0</v>
      </c>
    </row>
    <row r="91" spans="1:33" hidden="1">
      <c r="C91" s="134" t="s">
        <v>423</v>
      </c>
      <c r="E91" s="30">
        <v>3600</v>
      </c>
    </row>
    <row r="92" spans="1:33" hidden="1">
      <c r="C92" s="134" t="s">
        <v>272</v>
      </c>
      <c r="E92" s="30">
        <f>+E89-E91</f>
        <v>298</v>
      </c>
    </row>
    <row r="93" spans="1:33" hidden="1"/>
    <row r="94" spans="1:33" hidden="1"/>
    <row r="95" spans="1:33" hidden="1">
      <c r="C95" s="134" t="s">
        <v>424</v>
      </c>
      <c r="E95" s="30">
        <v>500</v>
      </c>
    </row>
    <row r="96" spans="1:33" hidden="1">
      <c r="C96" s="134" t="s">
        <v>425</v>
      </c>
      <c r="E96" s="30">
        <f>+E95-E92</f>
        <v>202</v>
      </c>
    </row>
    <row r="132" hidden="1"/>
  </sheetData>
  <phoneticPr fontId="6" type="noConversion"/>
  <pageMargins left="0.42" right="0.75" top="0.54" bottom="0.6" header="0.31" footer="0.5"/>
  <pageSetup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32"/>
  <sheetViews>
    <sheetView workbookViewId="0">
      <pane xSplit="3" ySplit="3" topLeftCell="R16" activePane="bottomRight" state="frozen"/>
      <selection pane="topRight" activeCell="D1" sqref="D1"/>
      <selection pane="bottomLeft" activeCell="A4" sqref="A4"/>
      <selection pane="bottomRight" activeCell="AE33" sqref="AE33"/>
    </sheetView>
  </sheetViews>
  <sheetFormatPr defaultRowHeight="12.75"/>
  <cols>
    <col min="1" max="1" width="7.140625" style="49" customWidth="1"/>
    <col min="2" max="2" width="6.28515625" style="52" customWidth="1"/>
    <col min="3" max="3" width="11.28515625" style="30" bestFit="1" customWidth="1"/>
    <col min="4" max="4" width="10.140625" style="30" customWidth="1"/>
    <col min="5" max="7" width="10.28515625" style="30" customWidth="1"/>
    <col min="8" max="8" width="10.85546875" style="30" customWidth="1"/>
    <col min="9" max="9" width="9.85546875" style="30" customWidth="1"/>
    <col min="10" max="10" width="10.28515625" style="30" customWidth="1"/>
    <col min="11" max="11" width="9.140625" style="30" customWidth="1"/>
    <col min="12" max="12" width="7.42578125" style="30" customWidth="1"/>
    <col min="13" max="13" width="7.7109375" style="30" customWidth="1"/>
    <col min="14" max="14" width="9.28515625" style="30" customWidth="1"/>
    <col min="15" max="15" width="11.28515625" style="30" customWidth="1"/>
    <col min="16" max="16" width="9.28515625" style="30" customWidth="1"/>
    <col min="17" max="17" width="9.140625" style="30" customWidth="1"/>
    <col min="18" max="20" width="9.28515625" style="30" customWidth="1"/>
    <col min="21" max="21" width="9.140625" style="30" customWidth="1"/>
    <col min="22" max="24" width="9.28515625" style="30" customWidth="1"/>
    <col min="25" max="25" width="9.28515625" style="104" customWidth="1"/>
    <col min="26" max="26" width="11.42578125" style="30" customWidth="1"/>
    <col min="27" max="29" width="9.28515625" style="30" customWidth="1"/>
    <col min="30" max="30" width="13.140625" style="30" customWidth="1"/>
    <col min="31" max="31" width="45.5703125" style="30" bestFit="1" customWidth="1"/>
    <col min="32" max="49" width="9.140625" style="30"/>
    <col min="50" max="16384" width="9.140625" style="8"/>
  </cols>
  <sheetData>
    <row r="1" spans="1:49">
      <c r="A1" s="54" t="s">
        <v>137</v>
      </c>
    </row>
    <row r="2" spans="1:49">
      <c r="A2" s="54"/>
    </row>
    <row r="3" spans="1:49" s="175" customFormat="1" ht="27.75" customHeight="1">
      <c r="A3" s="175" t="s">
        <v>35</v>
      </c>
      <c r="B3" s="176" t="s">
        <v>34</v>
      </c>
      <c r="C3" s="177" t="s">
        <v>36</v>
      </c>
      <c r="D3" s="177" t="s">
        <v>49</v>
      </c>
      <c r="E3" s="177" t="s">
        <v>299</v>
      </c>
      <c r="F3" s="178" t="s">
        <v>330</v>
      </c>
      <c r="G3" s="177" t="s">
        <v>37</v>
      </c>
      <c r="H3" s="177" t="s">
        <v>53</v>
      </c>
      <c r="I3" s="242" t="s">
        <v>50</v>
      </c>
      <c r="J3" s="177" t="s">
        <v>29</v>
      </c>
      <c r="K3" s="177" t="s">
        <v>51</v>
      </c>
      <c r="L3" s="177" t="s">
        <v>16</v>
      </c>
      <c r="M3" s="178" t="s">
        <v>6</v>
      </c>
      <c r="N3" s="178" t="s">
        <v>327</v>
      </c>
      <c r="O3" s="177" t="s">
        <v>60</v>
      </c>
      <c r="P3" s="177" t="s">
        <v>98</v>
      </c>
      <c r="Q3" s="177" t="s">
        <v>61</v>
      </c>
      <c r="R3" s="178" t="s">
        <v>328</v>
      </c>
      <c r="S3" s="177" t="s">
        <v>213</v>
      </c>
      <c r="T3" s="177" t="s">
        <v>63</v>
      </c>
      <c r="U3" s="177" t="s">
        <v>11</v>
      </c>
      <c r="V3" s="177" t="s">
        <v>144</v>
      </c>
      <c r="W3" s="177" t="s">
        <v>8</v>
      </c>
      <c r="X3" s="177" t="s">
        <v>269</v>
      </c>
      <c r="Y3" s="179" t="s">
        <v>329</v>
      </c>
      <c r="Z3" s="177" t="s">
        <v>275</v>
      </c>
      <c r="AA3" s="177" t="s">
        <v>135</v>
      </c>
      <c r="AB3" s="178" t="s">
        <v>331</v>
      </c>
      <c r="AC3" s="178" t="s">
        <v>145</v>
      </c>
      <c r="AD3" s="178" t="s">
        <v>64</v>
      </c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</row>
    <row r="4" spans="1:49">
      <c r="A4" s="49">
        <v>1512</v>
      </c>
      <c r="B4" s="52">
        <v>41471</v>
      </c>
      <c r="C4" s="30">
        <v>100</v>
      </c>
      <c r="F4" s="30">
        <v>100</v>
      </c>
      <c r="AE4" s="134" t="s">
        <v>398</v>
      </c>
    </row>
    <row r="5" spans="1:49">
      <c r="A5" s="49">
        <v>1513</v>
      </c>
      <c r="B5" s="52">
        <v>41475</v>
      </c>
      <c r="C5" s="30">
        <v>475</v>
      </c>
      <c r="E5" s="30">
        <v>475</v>
      </c>
      <c r="AE5" s="134" t="s">
        <v>395</v>
      </c>
    </row>
    <row r="6" spans="1:49">
      <c r="A6" s="49">
        <v>1514</v>
      </c>
      <c r="B6" s="52">
        <v>41475</v>
      </c>
      <c r="C6" s="30">
        <v>400</v>
      </c>
      <c r="E6" s="30">
        <v>400</v>
      </c>
      <c r="AE6" s="134" t="s">
        <v>396</v>
      </c>
    </row>
    <row r="7" spans="1:49">
      <c r="A7" s="49">
        <v>1515</v>
      </c>
      <c r="B7" s="52">
        <v>41475</v>
      </c>
      <c r="C7" s="30">
        <v>460</v>
      </c>
      <c r="E7" s="30">
        <v>460</v>
      </c>
      <c r="AE7" s="134" t="s">
        <v>397</v>
      </c>
    </row>
    <row r="8" spans="1:49">
      <c r="A8" s="49">
        <v>1516</v>
      </c>
      <c r="B8" s="52">
        <v>41475</v>
      </c>
      <c r="C8" s="30">
        <v>92.95</v>
      </c>
      <c r="E8" s="30">
        <v>92.95</v>
      </c>
      <c r="AE8" s="134" t="s">
        <v>395</v>
      </c>
    </row>
    <row r="9" spans="1:49">
      <c r="A9" s="49">
        <v>1517</v>
      </c>
      <c r="B9" s="52">
        <v>41477</v>
      </c>
      <c r="C9" s="30">
        <v>330</v>
      </c>
      <c r="D9" s="30">
        <v>330</v>
      </c>
      <c r="AE9" s="134" t="s">
        <v>400</v>
      </c>
    </row>
    <row r="10" spans="1:49">
      <c r="A10" s="49">
        <v>1518</v>
      </c>
      <c r="B10" s="52">
        <v>41484</v>
      </c>
      <c r="C10" s="30">
        <v>735</v>
      </c>
      <c r="D10" s="104"/>
      <c r="E10" s="104">
        <v>735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AE10" s="134" t="s">
        <v>402</v>
      </c>
    </row>
    <row r="11" spans="1:49">
      <c r="A11" s="49">
        <v>1519</v>
      </c>
      <c r="B11" s="52">
        <v>41484</v>
      </c>
      <c r="C11" s="30">
        <v>158</v>
      </c>
      <c r="D11" s="104"/>
      <c r="E11" s="104">
        <v>158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AE11" s="134" t="s">
        <v>401</v>
      </c>
    </row>
    <row r="12" spans="1:49">
      <c r="A12" s="49">
        <v>1520</v>
      </c>
      <c r="B12" s="52">
        <v>41486</v>
      </c>
      <c r="C12" s="30">
        <v>119.83</v>
      </c>
      <c r="D12" s="104"/>
      <c r="E12" s="104">
        <v>119.83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AE12" s="134" t="s">
        <v>403</v>
      </c>
    </row>
    <row r="13" spans="1:49">
      <c r="A13" s="49">
        <v>1521</v>
      </c>
      <c r="B13" s="52">
        <v>41511</v>
      </c>
      <c r="C13" s="30">
        <v>48.3</v>
      </c>
      <c r="D13" s="104"/>
      <c r="E13" s="104"/>
      <c r="F13" s="104"/>
      <c r="G13" s="104"/>
      <c r="H13" s="104"/>
      <c r="I13" s="104"/>
      <c r="J13" s="104">
        <v>48.3</v>
      </c>
      <c r="K13" s="104"/>
      <c r="L13" s="104"/>
      <c r="M13" s="104"/>
      <c r="N13" s="104"/>
      <c r="O13" s="104"/>
      <c r="P13" s="104"/>
      <c r="AE13" s="134" t="s">
        <v>406</v>
      </c>
    </row>
    <row r="14" spans="1:49">
      <c r="A14" s="49">
        <v>1522</v>
      </c>
      <c r="B14" s="52">
        <v>41511</v>
      </c>
      <c r="C14" s="30">
        <v>19.16</v>
      </c>
      <c r="D14" s="104"/>
      <c r="E14" s="104"/>
      <c r="F14" s="104"/>
      <c r="G14" s="104"/>
      <c r="H14" s="104"/>
      <c r="I14" s="104"/>
      <c r="J14" s="104">
        <v>19.16</v>
      </c>
      <c r="K14" s="104"/>
      <c r="L14" s="104"/>
      <c r="M14" s="104"/>
      <c r="N14" s="104"/>
      <c r="O14" s="104"/>
      <c r="P14" s="104"/>
      <c r="AE14" s="134" t="s">
        <v>407</v>
      </c>
    </row>
    <row r="15" spans="1:49">
      <c r="A15" s="49">
        <v>1523</v>
      </c>
      <c r="B15" s="52">
        <v>41511</v>
      </c>
      <c r="C15" s="30">
        <v>400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V15" s="30">
        <v>400</v>
      </c>
      <c r="AE15" s="134" t="s">
        <v>408</v>
      </c>
    </row>
    <row r="16" spans="1:49">
      <c r="A16" s="49">
        <v>1524</v>
      </c>
      <c r="B16" s="52">
        <v>41541</v>
      </c>
      <c r="C16" s="30">
        <v>600</v>
      </c>
      <c r="AB16" s="30">
        <v>600</v>
      </c>
      <c r="AE16" s="134" t="s">
        <v>409</v>
      </c>
    </row>
    <row r="17" spans="1:31">
      <c r="A17" s="49">
        <v>1525</v>
      </c>
      <c r="B17" s="52">
        <v>41543</v>
      </c>
      <c r="C17" s="30">
        <v>20.94</v>
      </c>
      <c r="X17" s="30">
        <v>20.94</v>
      </c>
      <c r="AE17" s="134" t="s">
        <v>410</v>
      </c>
    </row>
    <row r="18" spans="1:31">
      <c r="A18" s="49">
        <v>1526</v>
      </c>
      <c r="B18" s="52">
        <v>41547</v>
      </c>
      <c r="C18" s="30">
        <v>245.5</v>
      </c>
      <c r="AC18" s="30">
        <v>245.5</v>
      </c>
      <c r="AE18" s="134" t="s">
        <v>413</v>
      </c>
    </row>
    <row r="19" spans="1:31">
      <c r="A19" s="49">
        <v>1527</v>
      </c>
      <c r="B19" s="52">
        <v>41547</v>
      </c>
      <c r="C19" s="30">
        <v>1000</v>
      </c>
      <c r="X19" s="30">
        <v>1000</v>
      </c>
      <c r="AE19" s="134" t="s">
        <v>414</v>
      </c>
    </row>
    <row r="20" spans="1:31">
      <c r="A20" s="49">
        <v>1528</v>
      </c>
      <c r="B20" s="52">
        <v>41555</v>
      </c>
      <c r="C20" s="30">
        <v>300</v>
      </c>
      <c r="Y20" s="104">
        <v>300</v>
      </c>
      <c r="AE20" s="134" t="s">
        <v>415</v>
      </c>
    </row>
    <row r="21" spans="1:31">
      <c r="A21" s="49">
        <v>1529</v>
      </c>
      <c r="B21" s="52">
        <v>41567</v>
      </c>
      <c r="C21" s="30">
        <v>3600</v>
      </c>
      <c r="E21" s="30">
        <v>3600</v>
      </c>
      <c r="AE21" s="134" t="s">
        <v>416</v>
      </c>
    </row>
    <row r="22" spans="1:31">
      <c r="A22" s="49">
        <v>1530</v>
      </c>
      <c r="B22" s="52">
        <v>41567</v>
      </c>
      <c r="C22" s="30">
        <v>400</v>
      </c>
      <c r="V22" s="30">
        <v>400</v>
      </c>
      <c r="AE22" s="134" t="s">
        <v>422</v>
      </c>
    </row>
    <row r="23" spans="1:31">
      <c r="A23" s="49">
        <v>1531</v>
      </c>
      <c r="B23" s="52">
        <v>41567</v>
      </c>
      <c r="C23" s="30">
        <v>500</v>
      </c>
      <c r="E23" s="30">
        <v>500</v>
      </c>
      <c r="AE23" s="134" t="s">
        <v>454</v>
      </c>
    </row>
    <row r="24" spans="1:31">
      <c r="A24" s="49">
        <v>1532</v>
      </c>
      <c r="B24" s="52">
        <v>41567</v>
      </c>
      <c r="C24" s="30">
        <v>500</v>
      </c>
      <c r="U24" s="30">
        <v>500</v>
      </c>
      <c r="AE24" s="134" t="s">
        <v>428</v>
      </c>
    </row>
    <row r="25" spans="1:31">
      <c r="A25" s="49">
        <v>1533</v>
      </c>
      <c r="B25" s="52">
        <v>41570</v>
      </c>
      <c r="C25" s="30">
        <v>20</v>
      </c>
      <c r="J25" s="30">
        <v>20</v>
      </c>
      <c r="AE25" s="134" t="s">
        <v>429</v>
      </c>
    </row>
    <row r="26" spans="1:31">
      <c r="A26" s="49">
        <v>1534</v>
      </c>
      <c r="B26" s="52">
        <v>41570</v>
      </c>
      <c r="C26" s="30">
        <v>148</v>
      </c>
      <c r="J26" s="30">
        <v>148</v>
      </c>
      <c r="AE26" s="134" t="s">
        <v>430</v>
      </c>
    </row>
    <row r="27" spans="1:31">
      <c r="A27" s="49">
        <v>1535</v>
      </c>
      <c r="B27" s="52">
        <v>41576</v>
      </c>
      <c r="C27" s="30">
        <v>15000</v>
      </c>
      <c r="F27" s="30">
        <v>15000</v>
      </c>
      <c r="AE27" s="134" t="s">
        <v>431</v>
      </c>
    </row>
    <row r="28" spans="1:31">
      <c r="A28" s="49">
        <v>1536</v>
      </c>
      <c r="B28" s="52">
        <v>41578</v>
      </c>
      <c r="C28" s="30">
        <v>68.42</v>
      </c>
      <c r="X28" s="30">
        <v>68.42</v>
      </c>
      <c r="AE28" s="134" t="s">
        <v>432</v>
      </c>
    </row>
    <row r="29" spans="1:31">
      <c r="A29" s="49">
        <v>1537</v>
      </c>
      <c r="B29" s="52">
        <v>41578</v>
      </c>
      <c r="C29" s="30">
        <v>353.55</v>
      </c>
      <c r="F29" s="30">
        <v>353.55</v>
      </c>
      <c r="AE29" s="134" t="s">
        <v>433</v>
      </c>
    </row>
    <row r="30" spans="1:31">
      <c r="A30" s="49">
        <v>1538</v>
      </c>
      <c r="B30" s="52">
        <v>41583</v>
      </c>
      <c r="C30" s="30">
        <v>44.97</v>
      </c>
      <c r="J30" s="30">
        <v>44.97</v>
      </c>
      <c r="AE30" s="134" t="s">
        <v>442</v>
      </c>
    </row>
    <row r="31" spans="1:31">
      <c r="A31" s="49">
        <v>1539</v>
      </c>
      <c r="B31" s="52">
        <v>41583</v>
      </c>
      <c r="C31" s="30">
        <v>319</v>
      </c>
      <c r="J31" s="30">
        <v>319</v>
      </c>
      <c r="AE31" s="134" t="s">
        <v>443</v>
      </c>
    </row>
    <row r="32" spans="1:31">
      <c r="A32" s="49">
        <v>1540</v>
      </c>
      <c r="B32" s="52">
        <v>41594</v>
      </c>
      <c r="C32" s="30">
        <v>500</v>
      </c>
      <c r="P32" s="30">
        <v>500</v>
      </c>
      <c r="AE32" s="134" t="s">
        <v>316</v>
      </c>
    </row>
    <row r="33" spans="1:31">
      <c r="A33" s="49">
        <v>1541</v>
      </c>
      <c r="B33" s="52">
        <v>41594</v>
      </c>
      <c r="C33" s="30">
        <v>85</v>
      </c>
      <c r="R33" s="30">
        <v>85</v>
      </c>
      <c r="AE33" s="134" t="s">
        <v>445</v>
      </c>
    </row>
    <row r="34" spans="1:31">
      <c r="A34" s="49">
        <v>1542</v>
      </c>
      <c r="B34" s="52">
        <v>41594</v>
      </c>
      <c r="C34" s="30">
        <v>381.53</v>
      </c>
      <c r="J34" s="30">
        <v>381.53</v>
      </c>
      <c r="AE34" s="134" t="s">
        <v>446</v>
      </c>
    </row>
    <row r="35" spans="1:31">
      <c r="A35" s="49">
        <v>1543</v>
      </c>
      <c r="B35" s="52">
        <v>41598</v>
      </c>
      <c r="C35" s="30">
        <v>297.45999999999998</v>
      </c>
      <c r="J35" s="30">
        <v>297.45999999999998</v>
      </c>
      <c r="AE35" s="134" t="s">
        <v>448</v>
      </c>
    </row>
    <row r="36" spans="1:31">
      <c r="A36" s="49">
        <v>1544</v>
      </c>
      <c r="B36" s="52">
        <v>41598</v>
      </c>
      <c r="C36" s="30">
        <v>1000</v>
      </c>
      <c r="R36" s="30">
        <v>1000</v>
      </c>
      <c r="AE36" s="134" t="s">
        <v>447</v>
      </c>
    </row>
    <row r="37" spans="1:31">
      <c r="A37" s="49">
        <v>1545</v>
      </c>
      <c r="B37" s="52">
        <v>41606</v>
      </c>
      <c r="C37" s="30">
        <v>10035</v>
      </c>
      <c r="J37" s="30">
        <v>10035</v>
      </c>
      <c r="AE37" s="134" t="s">
        <v>24</v>
      </c>
    </row>
    <row r="38" spans="1:31">
      <c r="A38" s="49">
        <v>1546</v>
      </c>
      <c r="B38" s="119" t="s">
        <v>453</v>
      </c>
      <c r="AE38" s="134" t="s">
        <v>459</v>
      </c>
    </row>
    <row r="39" spans="1:31">
      <c r="A39" s="122" t="s">
        <v>458</v>
      </c>
      <c r="C39" s="30">
        <v>225</v>
      </c>
      <c r="J39" s="30">
        <v>225</v>
      </c>
      <c r="AE39" s="134" t="s">
        <v>460</v>
      </c>
    </row>
    <row r="40" spans="1:31">
      <c r="AE40" s="134" t="s">
        <v>394</v>
      </c>
    </row>
    <row r="41" spans="1:31">
      <c r="AE41" s="134" t="s">
        <v>394</v>
      </c>
    </row>
    <row r="42" spans="1:31">
      <c r="AE42" s="134" t="s">
        <v>394</v>
      </c>
    </row>
    <row r="43" spans="1:31">
      <c r="AE43" s="134" t="s">
        <v>394</v>
      </c>
    </row>
    <row r="44" spans="1:31">
      <c r="AE44" s="134" t="s">
        <v>394</v>
      </c>
    </row>
    <row r="45" spans="1:31">
      <c r="AE45" s="134" t="s">
        <v>394</v>
      </c>
    </row>
    <row r="46" spans="1:31">
      <c r="AE46" s="134" t="s">
        <v>394</v>
      </c>
    </row>
    <row r="47" spans="1:31">
      <c r="AE47" s="134" t="s">
        <v>394</v>
      </c>
    </row>
    <row r="48" spans="1:31">
      <c r="AE48" s="134" t="s">
        <v>394</v>
      </c>
    </row>
    <row r="49" spans="31:31">
      <c r="AE49" s="134" t="s">
        <v>394</v>
      </c>
    </row>
    <row r="50" spans="31:31">
      <c r="AE50" s="134" t="s">
        <v>394</v>
      </c>
    </row>
    <row r="51" spans="31:31">
      <c r="AE51" s="134" t="s">
        <v>394</v>
      </c>
    </row>
    <row r="52" spans="31:31">
      <c r="AE52" s="134" t="s">
        <v>394</v>
      </c>
    </row>
    <row r="53" spans="31:31">
      <c r="AE53" s="134" t="s">
        <v>394</v>
      </c>
    </row>
    <row r="54" spans="31:31">
      <c r="AE54" s="134" t="s">
        <v>394</v>
      </c>
    </row>
    <row r="55" spans="31:31">
      <c r="AE55" s="134" t="s">
        <v>394</v>
      </c>
    </row>
    <row r="56" spans="31:31">
      <c r="AE56" s="134" t="s">
        <v>394</v>
      </c>
    </row>
    <row r="57" spans="31:31">
      <c r="AE57" s="134" t="s">
        <v>394</v>
      </c>
    </row>
    <row r="58" spans="31:31">
      <c r="AE58" s="134" t="s">
        <v>394</v>
      </c>
    </row>
    <row r="59" spans="31:31">
      <c r="AE59" s="134" t="s">
        <v>394</v>
      </c>
    </row>
    <row r="60" spans="31:31">
      <c r="AE60" s="134" t="s">
        <v>394</v>
      </c>
    </row>
    <row r="61" spans="31:31">
      <c r="AE61" s="134" t="s">
        <v>394</v>
      </c>
    </row>
    <row r="62" spans="31:31">
      <c r="AE62" s="134" t="s">
        <v>394</v>
      </c>
    </row>
    <row r="63" spans="31:31">
      <c r="AE63" s="134" t="s">
        <v>394</v>
      </c>
    </row>
    <row r="64" spans="31:31">
      <c r="AE64" s="134" t="s">
        <v>394</v>
      </c>
    </row>
    <row r="65" spans="31:31">
      <c r="AE65" s="134" t="s">
        <v>394</v>
      </c>
    </row>
    <row r="66" spans="31:31">
      <c r="AE66" s="134" t="s">
        <v>394</v>
      </c>
    </row>
    <row r="67" spans="31:31">
      <c r="AE67" s="134" t="s">
        <v>394</v>
      </c>
    </row>
    <row r="68" spans="31:31">
      <c r="AE68" s="134" t="s">
        <v>394</v>
      </c>
    </row>
    <row r="69" spans="31:31">
      <c r="AE69" s="134" t="s">
        <v>394</v>
      </c>
    </row>
    <row r="70" spans="31:31">
      <c r="AE70" s="134" t="s">
        <v>394</v>
      </c>
    </row>
    <row r="71" spans="31:31">
      <c r="AE71" s="134" t="s">
        <v>394</v>
      </c>
    </row>
    <row r="72" spans="31:31">
      <c r="AE72" s="134" t="s">
        <v>394</v>
      </c>
    </row>
    <row r="73" spans="31:31">
      <c r="AE73" s="134" t="s">
        <v>394</v>
      </c>
    </row>
    <row r="74" spans="31:31">
      <c r="AE74" s="134" t="s">
        <v>394</v>
      </c>
    </row>
    <row r="75" spans="31:31">
      <c r="AE75" s="134" t="s">
        <v>394</v>
      </c>
    </row>
    <row r="76" spans="31:31">
      <c r="AE76" s="134" t="s">
        <v>394</v>
      </c>
    </row>
    <row r="77" spans="31:31">
      <c r="AE77" s="134" t="s">
        <v>394</v>
      </c>
    </row>
    <row r="78" spans="31:31">
      <c r="AE78" s="134" t="s">
        <v>394</v>
      </c>
    </row>
    <row r="79" spans="31:31">
      <c r="AE79" s="134" t="s">
        <v>394</v>
      </c>
    </row>
    <row r="80" spans="31:31">
      <c r="AE80" s="134" t="s">
        <v>394</v>
      </c>
    </row>
    <row r="81" spans="2:31">
      <c r="AE81" s="134" t="s">
        <v>394</v>
      </c>
    </row>
    <row r="82" spans="2:31">
      <c r="AE82" s="134" t="s">
        <v>394</v>
      </c>
    </row>
    <row r="83" spans="2:31">
      <c r="B83" s="30"/>
      <c r="AE83" s="134" t="s">
        <v>394</v>
      </c>
    </row>
    <row r="84" spans="2:31">
      <c r="AE84" s="134" t="s">
        <v>394</v>
      </c>
    </row>
    <row r="85" spans="2:31">
      <c r="AE85" s="134" t="s">
        <v>394</v>
      </c>
    </row>
    <row r="86" spans="2:31">
      <c r="AE86" s="134" t="s">
        <v>394</v>
      </c>
    </row>
    <row r="87" spans="2:31">
      <c r="AE87" s="134" t="s">
        <v>394</v>
      </c>
    </row>
    <row r="88" spans="2:31">
      <c r="AE88" s="134" t="s">
        <v>394</v>
      </c>
    </row>
    <row r="89" spans="2:31">
      <c r="AE89" s="134" t="s">
        <v>394</v>
      </c>
    </row>
    <row r="90" spans="2:31">
      <c r="AE90" s="134" t="s">
        <v>394</v>
      </c>
    </row>
    <row r="91" spans="2:31">
      <c r="AE91" s="134" t="s">
        <v>394</v>
      </c>
    </row>
    <row r="92" spans="2:31">
      <c r="AE92" s="134" t="s">
        <v>394</v>
      </c>
    </row>
    <row r="93" spans="2:31">
      <c r="AE93" s="134" t="s">
        <v>394</v>
      </c>
    </row>
    <row r="94" spans="2:31">
      <c r="AE94" s="134" t="s">
        <v>394</v>
      </c>
    </row>
    <row r="95" spans="2:31">
      <c r="AE95" s="134" t="s">
        <v>394</v>
      </c>
    </row>
    <row r="96" spans="2:31">
      <c r="AE96" s="134" t="s">
        <v>394</v>
      </c>
    </row>
    <row r="97" spans="1:31">
      <c r="AE97" s="134" t="s">
        <v>394</v>
      </c>
    </row>
    <row r="98" spans="1:31">
      <c r="AE98" s="134" t="s">
        <v>394</v>
      </c>
    </row>
    <row r="99" spans="1:31">
      <c r="AE99" s="134" t="s">
        <v>394</v>
      </c>
    </row>
    <row r="100" spans="1:31">
      <c r="B100" s="119"/>
      <c r="AE100" s="134" t="s">
        <v>394</v>
      </c>
    </row>
    <row r="101" spans="1:31">
      <c r="AE101" s="134" t="s">
        <v>394</v>
      </c>
    </row>
    <row r="102" spans="1:31">
      <c r="AE102" s="134" t="s">
        <v>394</v>
      </c>
    </row>
    <row r="103" spans="1:31">
      <c r="AE103" s="134" t="s">
        <v>394</v>
      </c>
    </row>
    <row r="104" spans="1:31">
      <c r="C104" s="47"/>
      <c r="AE104" s="134" t="s">
        <v>394</v>
      </c>
    </row>
    <row r="105" spans="1:31">
      <c r="C105" s="145"/>
      <c r="AE105" s="134" t="s">
        <v>394</v>
      </c>
    </row>
    <row r="106" spans="1:31">
      <c r="C106" s="104"/>
      <c r="AE106" s="134" t="s">
        <v>394</v>
      </c>
    </row>
    <row r="107" spans="1:31">
      <c r="A107" s="122"/>
      <c r="C107" s="145"/>
      <c r="AE107" s="134" t="s">
        <v>394</v>
      </c>
    </row>
    <row r="108" spans="1:31">
      <c r="C108" s="145"/>
      <c r="AE108" s="134" t="s">
        <v>394</v>
      </c>
    </row>
    <row r="109" spans="1:31">
      <c r="C109" s="145"/>
      <c r="AE109" s="134" t="s">
        <v>394</v>
      </c>
    </row>
    <row r="110" spans="1:31">
      <c r="C110" s="145"/>
      <c r="AE110" s="134" t="s">
        <v>394</v>
      </c>
    </row>
    <row r="111" spans="1:31">
      <c r="C111" s="145"/>
      <c r="AE111" s="134" t="s">
        <v>394</v>
      </c>
    </row>
    <row r="112" spans="1:31">
      <c r="C112" s="145"/>
      <c r="AE112" s="134" t="s">
        <v>394</v>
      </c>
    </row>
    <row r="113" spans="1:50">
      <c r="C113" s="145"/>
      <c r="AE113" s="134" t="s">
        <v>394</v>
      </c>
    </row>
    <row r="114" spans="1:50">
      <c r="C114" s="145"/>
      <c r="AE114" s="134" t="s">
        <v>394</v>
      </c>
    </row>
    <row r="115" spans="1:50">
      <c r="C115" s="145"/>
      <c r="AE115" s="134" t="s">
        <v>394</v>
      </c>
    </row>
    <row r="116" spans="1:50">
      <c r="A116" s="125"/>
      <c r="C116" s="47"/>
      <c r="AE116" s="134" t="s">
        <v>394</v>
      </c>
    </row>
    <row r="117" spans="1:50">
      <c r="C117" s="47"/>
      <c r="AE117" s="134" t="s">
        <v>394</v>
      </c>
    </row>
    <row r="118" spans="1:50">
      <c r="C118" s="47"/>
      <c r="AE118" s="134" t="s">
        <v>394</v>
      </c>
    </row>
    <row r="119" spans="1:50">
      <c r="C119" s="47"/>
      <c r="AE119" s="134" t="s">
        <v>394</v>
      </c>
    </row>
    <row r="120" spans="1:50">
      <c r="C120" s="47"/>
      <c r="AE120" s="134" t="s">
        <v>394</v>
      </c>
    </row>
    <row r="121" spans="1:50">
      <c r="C121" s="47"/>
      <c r="AE121" s="134" t="s">
        <v>394</v>
      </c>
    </row>
    <row r="122" spans="1:50">
      <c r="C122" s="47"/>
      <c r="AE122" s="134" t="s">
        <v>394</v>
      </c>
    </row>
    <row r="123" spans="1:50">
      <c r="A123" s="122"/>
      <c r="AE123" s="134" t="s">
        <v>394</v>
      </c>
    </row>
    <row r="124" spans="1:50">
      <c r="C124" s="47"/>
      <c r="AE124" s="134" t="s">
        <v>394</v>
      </c>
    </row>
    <row r="125" spans="1:50">
      <c r="A125" s="122"/>
      <c r="C125" s="47"/>
      <c r="AE125" s="134" t="s">
        <v>394</v>
      </c>
    </row>
    <row r="126" spans="1:50">
      <c r="C126" s="47"/>
      <c r="AE126" s="134" t="s">
        <v>394</v>
      </c>
    </row>
    <row r="127" spans="1:50">
      <c r="A127" s="8"/>
      <c r="B127" s="49"/>
      <c r="C127" s="52"/>
      <c r="D127" s="47"/>
      <c r="E127" s="48"/>
      <c r="F127" s="48"/>
      <c r="G127" s="48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48"/>
      <c r="AB127" s="48"/>
      <c r="AC127" s="48"/>
      <c r="AD127" s="48"/>
      <c r="AE127" s="48"/>
      <c r="AX127" s="30"/>
    </row>
    <row r="128" spans="1:50">
      <c r="C128" s="30">
        <f>SUM(C4:C127)</f>
        <v>38982.61</v>
      </c>
      <c r="D128" s="30">
        <f t="shared" ref="D128:AD128" si="0">SUM(D4:D127)</f>
        <v>330</v>
      </c>
      <c r="E128" s="30">
        <f>SUM(E4:E127)</f>
        <v>6540.78</v>
      </c>
      <c r="F128" s="30">
        <f>SUM(F4:F127)</f>
        <v>15453.55</v>
      </c>
      <c r="G128" s="104">
        <f t="shared" si="0"/>
        <v>0</v>
      </c>
      <c r="H128" s="104">
        <f t="shared" si="0"/>
        <v>0</v>
      </c>
      <c r="I128" s="104">
        <f t="shared" si="0"/>
        <v>0</v>
      </c>
      <c r="J128" s="104">
        <f t="shared" si="0"/>
        <v>11538.42</v>
      </c>
      <c r="K128" s="104">
        <f t="shared" si="0"/>
        <v>0</v>
      </c>
      <c r="L128" s="104">
        <f t="shared" si="0"/>
        <v>0</v>
      </c>
      <c r="M128" s="104">
        <f t="shared" si="0"/>
        <v>0</v>
      </c>
      <c r="N128" s="104">
        <f t="shared" si="0"/>
        <v>0</v>
      </c>
      <c r="O128" s="104">
        <f t="shared" si="0"/>
        <v>0</v>
      </c>
      <c r="P128" s="104">
        <f t="shared" si="0"/>
        <v>500</v>
      </c>
      <c r="Q128" s="104">
        <f t="shared" si="0"/>
        <v>0</v>
      </c>
      <c r="R128" s="104">
        <f t="shared" si="0"/>
        <v>1085</v>
      </c>
      <c r="S128" s="104">
        <f t="shared" si="0"/>
        <v>0</v>
      </c>
      <c r="T128" s="104">
        <f t="shared" si="0"/>
        <v>0</v>
      </c>
      <c r="U128" s="104">
        <f t="shared" si="0"/>
        <v>500</v>
      </c>
      <c r="V128" s="104">
        <f t="shared" si="0"/>
        <v>800</v>
      </c>
      <c r="W128" s="104">
        <f t="shared" si="0"/>
        <v>0</v>
      </c>
      <c r="X128" s="104">
        <f t="shared" si="0"/>
        <v>1089.3600000000001</v>
      </c>
      <c r="Y128" s="104">
        <f t="shared" si="0"/>
        <v>300</v>
      </c>
      <c r="Z128" s="30">
        <f t="shared" si="0"/>
        <v>0</v>
      </c>
      <c r="AA128" s="30">
        <f t="shared" si="0"/>
        <v>0</v>
      </c>
      <c r="AB128" s="30">
        <f t="shared" si="0"/>
        <v>600</v>
      </c>
      <c r="AC128" s="30">
        <f t="shared" si="0"/>
        <v>245.5</v>
      </c>
      <c r="AD128" s="30">
        <f t="shared" si="0"/>
        <v>0</v>
      </c>
    </row>
    <row r="129" spans="1:10" ht="15">
      <c r="A129" s="129"/>
      <c r="J129" s="106"/>
    </row>
    <row r="130" spans="1:10">
      <c r="A130" s="54"/>
    </row>
    <row r="132" spans="1:10">
      <c r="D132" s="104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workbookViewId="0">
      <selection activeCell="C5" sqref="C5"/>
    </sheetView>
  </sheetViews>
  <sheetFormatPr defaultRowHeight="12.75"/>
  <cols>
    <col min="1" max="1" width="34.85546875" customWidth="1"/>
    <col min="2" max="2" width="11.28515625" customWidth="1"/>
    <col min="3" max="3" width="11.85546875" customWidth="1"/>
    <col min="4" max="4" width="10.85546875" style="55" bestFit="1" customWidth="1"/>
    <col min="5" max="5" width="1.28515625" style="130" customWidth="1"/>
    <col min="6" max="6" width="10.85546875" style="55" bestFit="1" customWidth="1"/>
    <col min="7" max="7" width="1.85546875" customWidth="1"/>
    <col min="8" max="8" width="10.85546875" style="55" bestFit="1" customWidth="1"/>
    <col min="9" max="9" width="1.5703125" customWidth="1"/>
    <col min="10" max="10" width="10.85546875" style="55" bestFit="1" customWidth="1"/>
    <col min="11" max="11" width="1.42578125" customWidth="1"/>
    <col min="12" max="12" width="10.28515625" customWidth="1"/>
    <col min="13" max="13" width="1.5703125" customWidth="1"/>
    <col min="14" max="14" width="14.28515625" customWidth="1"/>
    <col min="15" max="15" width="1.28515625" customWidth="1"/>
    <col min="16" max="16" width="13.140625" customWidth="1"/>
    <col min="17" max="17" width="1.140625" style="8" customWidth="1"/>
    <col min="18" max="18" width="14.140625" customWidth="1"/>
    <col min="19" max="19" width="1.7109375" customWidth="1"/>
    <col min="20" max="20" width="11.28515625" customWidth="1"/>
    <col min="21" max="21" width="1.28515625" style="6" customWidth="1"/>
    <col min="22" max="22" width="11.28515625" customWidth="1"/>
    <col min="23" max="23" width="6.7109375" customWidth="1"/>
    <col min="25" max="25" width="11.28515625" customWidth="1"/>
    <col min="26" max="26" width="10.28515625" customWidth="1"/>
  </cols>
  <sheetData>
    <row r="1" spans="1:25" s="9" customFormat="1">
      <c r="C1" s="9">
        <v>2013</v>
      </c>
      <c r="D1" s="9">
        <v>2012</v>
      </c>
      <c r="F1" s="9">
        <v>2011</v>
      </c>
      <c r="H1" s="9">
        <v>2010</v>
      </c>
      <c r="J1" s="9">
        <v>2009</v>
      </c>
      <c r="L1" s="9">
        <v>2008</v>
      </c>
      <c r="N1" s="9">
        <v>2007</v>
      </c>
      <c r="P1" s="9">
        <v>2006</v>
      </c>
      <c r="Q1" s="49"/>
      <c r="R1" s="9">
        <v>2005</v>
      </c>
      <c r="T1" s="9">
        <v>2004</v>
      </c>
      <c r="U1" s="42"/>
      <c r="V1" s="9">
        <v>2003</v>
      </c>
    </row>
    <row r="5" spans="1:25">
      <c r="A5" s="2" t="s">
        <v>15</v>
      </c>
      <c r="B5" s="2"/>
      <c r="C5" s="238">
        <f>+Deposits!G89</f>
        <v>1984</v>
      </c>
      <c r="D5" s="56">
        <v>81869</v>
      </c>
      <c r="E5" s="2"/>
      <c r="F5" s="56">
        <v>77027.149999999994</v>
      </c>
      <c r="G5" s="2"/>
      <c r="H5" s="56">
        <v>81576</v>
      </c>
      <c r="I5" s="2"/>
      <c r="J5" s="56">
        <v>91059</v>
      </c>
      <c r="K5" s="2"/>
      <c r="L5" s="30">
        <v>75129.75</v>
      </c>
      <c r="M5" s="2"/>
      <c r="N5" s="30">
        <v>82216</v>
      </c>
      <c r="O5" s="30"/>
      <c r="P5" s="30">
        <v>86146.86</v>
      </c>
      <c r="R5" s="23">
        <v>72897.25</v>
      </c>
      <c r="S5" s="2"/>
      <c r="T5" s="23">
        <f>73658-70</f>
        <v>73588</v>
      </c>
      <c r="V5" s="23">
        <f>72881.6-1800+25</f>
        <v>71106.600000000006</v>
      </c>
    </row>
    <row r="6" spans="1:25">
      <c r="A6" s="2" t="s">
        <v>67</v>
      </c>
      <c r="B6" s="2"/>
      <c r="C6" s="57"/>
      <c r="D6" s="56"/>
      <c r="E6" s="2"/>
      <c r="F6" s="56"/>
      <c r="G6" s="2"/>
      <c r="H6" s="56"/>
      <c r="I6" s="2"/>
      <c r="J6" s="56"/>
      <c r="K6" s="2"/>
      <c r="L6" s="2"/>
      <c r="M6" s="2"/>
      <c r="N6" s="30"/>
      <c r="O6" s="30"/>
      <c r="P6" s="30">
        <v>86.22</v>
      </c>
      <c r="R6" s="23">
        <v>-550</v>
      </c>
      <c r="S6" s="2"/>
      <c r="T6" s="23">
        <f>T8-T5</f>
        <v>-8435.5</v>
      </c>
      <c r="V6" s="5"/>
    </row>
    <row r="7" spans="1:25">
      <c r="A7" s="2"/>
      <c r="B7" s="2"/>
      <c r="C7" s="57"/>
      <c r="D7" s="56"/>
      <c r="E7" s="2"/>
      <c r="F7" s="56"/>
      <c r="G7" s="2"/>
      <c r="H7" s="56"/>
      <c r="I7" s="2"/>
      <c r="J7" s="56"/>
      <c r="K7" s="2"/>
      <c r="L7" s="2"/>
      <c r="M7" s="2"/>
      <c r="N7" s="30"/>
      <c r="O7" s="30"/>
      <c r="P7" s="30"/>
      <c r="R7" s="23"/>
      <c r="S7" s="2"/>
      <c r="T7" s="23"/>
      <c r="V7" s="5"/>
    </row>
    <row r="8" spans="1:25">
      <c r="A8" s="2" t="s">
        <v>68</v>
      </c>
      <c r="B8" s="2"/>
      <c r="C8" s="57"/>
      <c r="D8" s="56"/>
      <c r="E8" s="2"/>
      <c r="F8" s="56"/>
      <c r="G8" s="2"/>
      <c r="H8" s="56"/>
      <c r="I8" s="2"/>
      <c r="J8" s="56">
        <v>90944</v>
      </c>
      <c r="K8" s="2"/>
      <c r="L8" s="2"/>
      <c r="M8" s="2"/>
      <c r="N8" s="30">
        <v>82216</v>
      </c>
      <c r="O8" s="30"/>
      <c r="P8" s="30">
        <v>86060.64</v>
      </c>
      <c r="R8" s="23">
        <f>SUM(R5:R6)</f>
        <v>72347.25</v>
      </c>
      <c r="S8" s="2"/>
      <c r="T8" s="23">
        <v>65152.5</v>
      </c>
      <c r="V8" s="5"/>
    </row>
    <row r="9" spans="1:25">
      <c r="C9" s="136"/>
      <c r="D9" s="56"/>
      <c r="F9" s="56"/>
      <c r="H9" s="56"/>
      <c r="J9" s="56"/>
      <c r="T9" s="3"/>
      <c r="V9" s="3"/>
    </row>
    <row r="10" spans="1:25">
      <c r="A10" s="2" t="s">
        <v>69</v>
      </c>
      <c r="B10" s="2"/>
      <c r="C10" s="57"/>
      <c r="D10" s="57"/>
      <c r="E10" s="2"/>
      <c r="F10" s="57"/>
      <c r="G10" s="2"/>
      <c r="H10" s="57"/>
      <c r="I10" s="2"/>
      <c r="J10" s="57"/>
      <c r="K10" s="2"/>
      <c r="L10" s="2"/>
      <c r="M10" s="2"/>
      <c r="N10" s="30"/>
      <c r="O10" s="30"/>
      <c r="P10" s="30"/>
      <c r="R10" s="2"/>
      <c r="S10" s="2"/>
      <c r="T10" s="3"/>
      <c r="V10" s="3"/>
    </row>
    <row r="11" spans="1:25">
      <c r="C11" s="136"/>
      <c r="N11" s="30"/>
      <c r="O11" s="30"/>
      <c r="P11" s="30"/>
      <c r="T11" s="3"/>
      <c r="V11" s="3"/>
    </row>
    <row r="12" spans="1:25">
      <c r="A12" t="s">
        <v>151</v>
      </c>
      <c r="C12" s="136">
        <f>10000+Disbursements!J37</f>
        <v>20035</v>
      </c>
      <c r="D12" s="55">
        <v>43524.92</v>
      </c>
      <c r="F12" s="55">
        <v>37727</v>
      </c>
      <c r="H12" s="55">
        <v>38970</v>
      </c>
      <c r="J12" s="55">
        <v>42712.5</v>
      </c>
      <c r="L12" s="15">
        <v>35992.5</v>
      </c>
      <c r="N12" s="15">
        <v>41700</v>
      </c>
      <c r="P12">
        <f>10762.5+29425-340</f>
        <v>39847.5</v>
      </c>
      <c r="R12" s="23">
        <v>36600.5</v>
      </c>
      <c r="T12" s="23">
        <v>33050</v>
      </c>
      <c r="V12" s="23">
        <f>13868.75+12338.75+1870.5+1400+3000</f>
        <v>32478</v>
      </c>
    </row>
    <row r="13" spans="1:25">
      <c r="A13" t="s">
        <v>96</v>
      </c>
      <c r="C13" s="136"/>
      <c r="K13" s="30"/>
      <c r="L13" s="30"/>
      <c r="M13" s="30"/>
      <c r="N13" s="15">
        <v>-204</v>
      </c>
      <c r="O13" s="15"/>
      <c r="P13" s="15"/>
      <c r="T13" s="23"/>
      <c r="V13" s="3"/>
    </row>
    <row r="14" spans="1:25">
      <c r="A14" s="130" t="s">
        <v>457</v>
      </c>
      <c r="C14" s="136">
        <f>+Disbursements!J39</f>
        <v>225</v>
      </c>
      <c r="K14" s="30"/>
      <c r="L14" s="30"/>
      <c r="M14" s="30"/>
      <c r="N14" s="30"/>
      <c r="O14" s="30"/>
      <c r="P14" s="30"/>
      <c r="T14" s="23"/>
      <c r="V14" s="3"/>
    </row>
    <row r="15" spans="1:25">
      <c r="C15" s="136"/>
      <c r="N15" s="30"/>
      <c r="O15" s="30"/>
      <c r="P15" s="30"/>
      <c r="T15" s="23"/>
      <c r="V15" s="3"/>
    </row>
    <row r="16" spans="1:25">
      <c r="A16" t="s">
        <v>152</v>
      </c>
      <c r="C16" s="136">
        <v>317.8</v>
      </c>
      <c r="F16" s="55">
        <v>432.01</v>
      </c>
      <c r="H16" s="55">
        <v>471</v>
      </c>
      <c r="J16" s="55">
        <f>152.58+36.11+143.13</f>
        <v>331.82</v>
      </c>
      <c r="L16" s="15">
        <v>2825</v>
      </c>
      <c r="N16" s="30">
        <v>3447.5</v>
      </c>
      <c r="O16" s="30"/>
      <c r="P16" s="30">
        <v>2849.2</v>
      </c>
      <c r="R16" s="23">
        <v>2330.5</v>
      </c>
      <c r="T16" s="23">
        <v>2719.5</v>
      </c>
      <c r="V16" s="23">
        <f>536.25+1569.75</f>
        <v>2106</v>
      </c>
      <c r="Y16" s="25"/>
    </row>
    <row r="17" spans="1:25">
      <c r="A17" t="s">
        <v>97</v>
      </c>
      <c r="C17" s="136"/>
      <c r="K17" s="15"/>
      <c r="L17" s="15"/>
      <c r="M17" s="15"/>
      <c r="N17" s="30">
        <v>-42</v>
      </c>
      <c r="O17" s="30"/>
      <c r="P17" s="30"/>
      <c r="T17" s="23"/>
      <c r="V17" s="24"/>
      <c r="Y17" s="25"/>
    </row>
    <row r="18" spans="1:25">
      <c r="C18" s="136"/>
      <c r="K18" s="15"/>
      <c r="L18" s="15"/>
      <c r="M18" s="15"/>
      <c r="N18" s="30"/>
      <c r="O18" s="30"/>
      <c r="P18" s="30"/>
      <c r="T18" s="23"/>
      <c r="V18" s="24"/>
      <c r="Y18" s="25"/>
    </row>
    <row r="19" spans="1:25">
      <c r="C19" s="136"/>
      <c r="K19" s="15"/>
      <c r="L19" s="15"/>
      <c r="M19" s="15"/>
      <c r="N19" s="30"/>
      <c r="O19" s="30"/>
      <c r="P19" s="30"/>
      <c r="T19" s="23"/>
      <c r="V19" s="24"/>
      <c r="Y19" s="25"/>
    </row>
    <row r="20" spans="1:25">
      <c r="A20" t="s">
        <v>71</v>
      </c>
      <c r="C20" s="136"/>
      <c r="D20" s="55">
        <f>'Use Tax'!J11</f>
        <v>2126.2460000000001</v>
      </c>
      <c r="F20" s="55">
        <f>'Use Tax'!I11</f>
        <v>1886.3500000000001</v>
      </c>
      <c r="H20" s="55">
        <f>'Use Tax'!H11</f>
        <v>1992.45</v>
      </c>
      <c r="J20" s="55">
        <v>2168.04</v>
      </c>
      <c r="L20" s="51">
        <f>'Use Tax'!F11</f>
        <v>1955.5430000000001</v>
      </c>
      <c r="N20" s="30">
        <f>'Use Tax'!E11</f>
        <v>2261.0439999999999</v>
      </c>
      <c r="O20" s="30"/>
      <c r="P20" s="30">
        <v>2110.21</v>
      </c>
      <c r="R20" s="23">
        <v>2428.63</v>
      </c>
      <c r="T20" s="23">
        <v>1367.75</v>
      </c>
      <c r="V20" s="23">
        <f>(V12+V16)*0.05</f>
        <v>1729.2</v>
      </c>
    </row>
    <row r="21" spans="1:25">
      <c r="A21" t="s">
        <v>95</v>
      </c>
      <c r="C21" s="136"/>
      <c r="N21" s="30">
        <f>42+204</f>
        <v>246</v>
      </c>
      <c r="O21" s="30"/>
      <c r="P21" s="30"/>
      <c r="R21" s="23"/>
      <c r="T21" s="23"/>
      <c r="V21" s="23"/>
    </row>
    <row r="22" spans="1:25">
      <c r="A22" t="s">
        <v>74</v>
      </c>
      <c r="C22" s="136">
        <v>63.73</v>
      </c>
      <c r="F22" s="55">
        <v>243.36</v>
      </c>
      <c r="H22" s="55">
        <v>831</v>
      </c>
      <c r="J22" s="55">
        <v>495.68</v>
      </c>
      <c r="L22" s="15">
        <v>238.4</v>
      </c>
      <c r="N22" s="30"/>
      <c r="O22" s="30"/>
      <c r="P22" s="30"/>
      <c r="R22" s="23">
        <v>1227</v>
      </c>
      <c r="T22" s="23">
        <v>0</v>
      </c>
      <c r="V22" s="23">
        <v>594.55999999999995</v>
      </c>
    </row>
    <row r="23" spans="1:25">
      <c r="A23" t="s">
        <v>72</v>
      </c>
      <c r="C23" s="136">
        <f>+Disbursements!J31</f>
        <v>319</v>
      </c>
      <c r="F23" s="55">
        <v>915</v>
      </c>
      <c r="N23" s="30"/>
      <c r="O23" s="30"/>
      <c r="P23" s="30"/>
      <c r="R23" s="23">
        <v>110.92</v>
      </c>
      <c r="T23" s="23">
        <v>124</v>
      </c>
      <c r="V23" s="23">
        <f>219.6+111.6+111.6</f>
        <v>442.79999999999995</v>
      </c>
    </row>
    <row r="24" spans="1:25">
      <c r="A24" s="8" t="s">
        <v>212</v>
      </c>
      <c r="C24" s="136"/>
      <c r="N24" s="30"/>
      <c r="O24" s="30"/>
      <c r="P24" s="30">
        <f>250.93+360</f>
        <v>610.93000000000006</v>
      </c>
      <c r="R24" s="23">
        <f>187.93+345</f>
        <v>532.93000000000006</v>
      </c>
      <c r="T24" s="23">
        <f>218.92+350</f>
        <v>568.91999999999996</v>
      </c>
      <c r="V24" s="23">
        <f>161.68+345</f>
        <v>506.68</v>
      </c>
    </row>
    <row r="25" spans="1:25">
      <c r="A25" t="s">
        <v>81</v>
      </c>
      <c r="C25" s="136">
        <f>+Disbursements!J25</f>
        <v>20</v>
      </c>
      <c r="F25" s="55">
        <v>20</v>
      </c>
      <c r="H25" s="55">
        <v>20</v>
      </c>
      <c r="J25" s="55">
        <v>15</v>
      </c>
      <c r="L25" s="15"/>
      <c r="N25" s="30"/>
      <c r="O25" s="30"/>
      <c r="P25" s="30"/>
      <c r="R25" s="23">
        <v>35</v>
      </c>
      <c r="T25" s="23">
        <v>0</v>
      </c>
      <c r="V25" s="23">
        <v>15</v>
      </c>
    </row>
    <row r="26" spans="1:25">
      <c r="A26" t="s">
        <v>59</v>
      </c>
      <c r="C26" s="136">
        <f>+Disbursements!J13+Disbursements!J14+Disbursements!J30+Disbursements!J35</f>
        <v>409.89</v>
      </c>
      <c r="D26" s="55">
        <v>684.43</v>
      </c>
      <c r="F26" s="55">
        <v>351.74</v>
      </c>
      <c r="H26" s="55">
        <v>600.9</v>
      </c>
      <c r="J26" s="55">
        <v>561.27</v>
      </c>
      <c r="K26" s="15"/>
      <c r="L26" s="15">
        <v>469.47</v>
      </c>
      <c r="N26" s="30">
        <v>474.16</v>
      </c>
      <c r="O26" s="30"/>
      <c r="P26" s="30">
        <v>1009.81</v>
      </c>
      <c r="R26" s="23">
        <v>187.6</v>
      </c>
      <c r="T26" s="23">
        <f>455.21+52.45+35.18</f>
        <v>542.83999999999992</v>
      </c>
      <c r="V26" s="23">
        <f>253.79+51.4+9.36+140.26</f>
        <v>454.81</v>
      </c>
    </row>
    <row r="27" spans="1:25">
      <c r="A27" t="s">
        <v>79</v>
      </c>
      <c r="C27" s="136"/>
      <c r="J27" s="55">
        <v>115</v>
      </c>
      <c r="N27" s="30">
        <v>90</v>
      </c>
      <c r="O27" s="30"/>
      <c r="P27" s="30">
        <v>131</v>
      </c>
      <c r="R27" s="23"/>
      <c r="T27" s="23"/>
      <c r="V27" s="23">
        <v>44</v>
      </c>
    </row>
    <row r="28" spans="1:25">
      <c r="A28" t="s">
        <v>66</v>
      </c>
      <c r="C28" s="136">
        <f>+Disbursements!J26</f>
        <v>148</v>
      </c>
      <c r="D28" s="55">
        <v>96.29</v>
      </c>
      <c r="F28" s="55">
        <v>140.93</v>
      </c>
      <c r="H28" s="55">
        <v>226.5</v>
      </c>
      <c r="J28" s="55">
        <v>211.56</v>
      </c>
      <c r="L28" s="15">
        <v>158.84</v>
      </c>
      <c r="N28" s="30">
        <v>244.25</v>
      </c>
      <c r="O28" s="30"/>
      <c r="P28" s="30">
        <v>238.63</v>
      </c>
      <c r="R28" s="23">
        <v>155.09</v>
      </c>
      <c r="T28" s="23">
        <v>127.78</v>
      </c>
      <c r="V28" s="23">
        <v>112.2</v>
      </c>
    </row>
    <row r="29" spans="1:25">
      <c r="A29" t="s">
        <v>140</v>
      </c>
      <c r="C29" s="136"/>
      <c r="H29" s="55">
        <v>75</v>
      </c>
      <c r="J29" s="55">
        <v>125</v>
      </c>
      <c r="L29" s="15">
        <v>125</v>
      </c>
      <c r="N29" s="30">
        <v>75</v>
      </c>
      <c r="O29" s="30"/>
      <c r="P29" s="30">
        <v>75</v>
      </c>
      <c r="R29" s="23">
        <v>75</v>
      </c>
      <c r="T29" s="23"/>
      <c r="V29" s="23"/>
    </row>
    <row r="30" spans="1:25">
      <c r="A30" t="s">
        <v>150</v>
      </c>
      <c r="C30" s="136"/>
      <c r="J30" s="55">
        <v>191.1</v>
      </c>
      <c r="N30" s="30">
        <v>586</v>
      </c>
      <c r="O30" s="30"/>
      <c r="P30" s="30"/>
      <c r="R30" s="23">
        <v>359</v>
      </c>
      <c r="T30" s="23"/>
      <c r="V30" s="23"/>
    </row>
    <row r="31" spans="1:25">
      <c r="A31" t="s">
        <v>94</v>
      </c>
      <c r="C31" s="136"/>
      <c r="H31" s="55">
        <v>110.27</v>
      </c>
      <c r="N31" s="30">
        <v>250</v>
      </c>
      <c r="O31" s="30"/>
      <c r="P31" s="30"/>
      <c r="T31" s="23"/>
      <c r="V31" s="23"/>
    </row>
    <row r="32" spans="1:25">
      <c r="C32" s="58">
        <f>SUM(C12:C31)</f>
        <v>21538.42</v>
      </c>
      <c r="D32" s="58">
        <f>SUM(D12:D31)</f>
        <v>46431.885999999999</v>
      </c>
      <c r="F32" s="58">
        <f>SUM(F12:F31)</f>
        <v>41716.39</v>
      </c>
      <c r="H32" s="58">
        <f>SUM(H12:H31)</f>
        <v>43297.119999999995</v>
      </c>
      <c r="J32" s="58">
        <f>SUM(J12:J31)</f>
        <v>46926.969999999994</v>
      </c>
      <c r="L32" s="32">
        <f>SUM(L12:L31)</f>
        <v>41764.752999999997</v>
      </c>
      <c r="N32" s="32">
        <f>SUM(N12:N31)</f>
        <v>49127.954000000005</v>
      </c>
      <c r="O32" s="44"/>
      <c r="P32" s="32">
        <f>SUM(P12:P31)</f>
        <v>46872.279999999992</v>
      </c>
      <c r="R32" s="32">
        <f>SUM(R12:R31)</f>
        <v>44042.169999999991</v>
      </c>
      <c r="T32" s="32">
        <f>SUM(T12:T31)</f>
        <v>38500.789999999994</v>
      </c>
      <c r="V32" s="32">
        <f>SUM(V12:V31)</f>
        <v>38483.249999999993</v>
      </c>
      <c r="Y32" s="4"/>
    </row>
    <row r="33" spans="1:25">
      <c r="C33" s="136"/>
      <c r="N33" s="30"/>
      <c r="O33" s="30"/>
      <c r="P33" s="30"/>
      <c r="V33" s="23"/>
    </row>
    <row r="34" spans="1:25">
      <c r="C34" s="136"/>
      <c r="N34" s="30"/>
      <c r="O34" s="30"/>
      <c r="P34" s="30"/>
      <c r="V34" s="23"/>
    </row>
    <row r="35" spans="1:25" ht="13.5" thickBot="1">
      <c r="A35" s="26" t="s">
        <v>73</v>
      </c>
      <c r="C35" s="59">
        <f>C5-C32</f>
        <v>-19554.419999999998</v>
      </c>
      <c r="D35" s="59">
        <f>D5-D32</f>
        <v>35437.114000000001</v>
      </c>
      <c r="F35" s="59">
        <f>F5-F32</f>
        <v>35310.759999999995</v>
      </c>
      <c r="H35" s="59">
        <f>H5-H32</f>
        <v>38278.880000000005</v>
      </c>
      <c r="J35" s="59">
        <f>J5-J32</f>
        <v>44132.030000000006</v>
      </c>
      <c r="L35" s="31">
        <f>L5-L32</f>
        <v>33364.997000000003</v>
      </c>
      <c r="N35" s="31">
        <f>N5-N32</f>
        <v>33088.045999999995</v>
      </c>
      <c r="O35" s="44"/>
      <c r="P35" s="31">
        <f>P5-P32</f>
        <v>39274.580000000009</v>
      </c>
      <c r="R35" s="31">
        <f>R5-R32</f>
        <v>28855.080000000009</v>
      </c>
      <c r="T35" s="31">
        <f>T5-T32</f>
        <v>35087.210000000006</v>
      </c>
      <c r="V35" s="31">
        <f>V5-V32</f>
        <v>32623.350000000013</v>
      </c>
      <c r="Y35" s="4"/>
    </row>
    <row r="36" spans="1:25" ht="13.5" thickTop="1">
      <c r="A36" s="6"/>
      <c r="B36" s="6"/>
      <c r="C36" s="137"/>
      <c r="D36" s="60"/>
      <c r="E36" s="6"/>
      <c r="F36" s="60"/>
      <c r="G36" s="6"/>
      <c r="H36" s="60"/>
      <c r="I36" s="6"/>
      <c r="J36" s="60"/>
      <c r="K36" s="6"/>
      <c r="L36" s="6"/>
      <c r="M36" s="6"/>
      <c r="N36" s="30"/>
      <c r="O36" s="30"/>
      <c r="P36" s="30"/>
      <c r="Q36" s="34"/>
      <c r="R36" s="6"/>
      <c r="S36" s="6"/>
      <c r="T36" s="6"/>
      <c r="V36" s="23"/>
      <c r="W36" s="6"/>
      <c r="Y36" s="4"/>
    </row>
    <row r="37" spans="1:25">
      <c r="A37" s="6" t="s">
        <v>86</v>
      </c>
      <c r="B37" s="6"/>
      <c r="C37" s="137"/>
      <c r="D37" s="60"/>
      <c r="E37" s="6"/>
      <c r="F37" s="60"/>
      <c r="G37" s="6"/>
      <c r="H37" s="60"/>
      <c r="I37" s="6"/>
      <c r="J37" s="60"/>
      <c r="K37" s="6"/>
      <c r="L37" s="6"/>
      <c r="M37" s="6"/>
      <c r="N37" s="43">
        <f>N45-P45</f>
        <v>-268.5</v>
      </c>
      <c r="O37" s="43"/>
      <c r="P37" s="43">
        <f>P45-R45</f>
        <v>-461.56500000000017</v>
      </c>
      <c r="Q37" s="34"/>
      <c r="R37" s="30">
        <f>R45</f>
        <v>730.06500000000017</v>
      </c>
      <c r="S37" s="6"/>
      <c r="T37" s="6"/>
      <c r="V37" s="23"/>
      <c r="W37" s="6"/>
      <c r="Y37" s="4"/>
    </row>
    <row r="38" spans="1:25">
      <c r="A38" s="6"/>
      <c r="B38" s="6"/>
      <c r="C38" s="137"/>
      <c r="D38" s="60"/>
      <c r="E38" s="6"/>
      <c r="F38" s="60"/>
      <c r="G38" s="6"/>
      <c r="H38" s="60"/>
      <c r="I38" s="6"/>
      <c r="J38" s="60"/>
      <c r="K38" s="6"/>
      <c r="L38" s="6"/>
      <c r="M38" s="6"/>
      <c r="Q38" s="34"/>
      <c r="R38" s="30"/>
      <c r="S38" s="6"/>
      <c r="T38" s="6"/>
      <c r="V38" s="23"/>
      <c r="W38" s="6"/>
      <c r="Y38" s="4"/>
    </row>
    <row r="39" spans="1:25" ht="13.5" thickBot="1">
      <c r="A39" s="6" t="s">
        <v>85</v>
      </c>
      <c r="B39" s="6"/>
      <c r="C39" s="61">
        <f>SUM(C35:C37)</f>
        <v>-19554.419999999998</v>
      </c>
      <c r="D39" s="61">
        <f>SUM(D35:D37)</f>
        <v>35437.114000000001</v>
      </c>
      <c r="E39" s="6"/>
      <c r="F39" s="61">
        <f>SUM(F35:F37)</f>
        <v>35310.759999999995</v>
      </c>
      <c r="G39" s="6"/>
      <c r="H39" s="61">
        <f>SUM(H35:H37)</f>
        <v>38278.880000000005</v>
      </c>
      <c r="I39" s="6"/>
      <c r="J39" s="61">
        <f>SUM(J35:J37)</f>
        <v>44132.030000000006</v>
      </c>
      <c r="K39" s="6"/>
      <c r="L39" s="40">
        <f>SUM(L35:L37)</f>
        <v>33364.997000000003</v>
      </c>
      <c r="M39" s="6"/>
      <c r="N39" s="40">
        <f>SUM(N35:N37)</f>
        <v>32819.545999999995</v>
      </c>
      <c r="O39" s="45"/>
      <c r="P39" s="45"/>
      <c r="Q39" s="34"/>
      <c r="R39" s="40">
        <f>R35+R37</f>
        <v>29585.145000000008</v>
      </c>
      <c r="S39" s="6"/>
      <c r="T39" s="6"/>
      <c r="V39" s="23"/>
      <c r="W39" s="6"/>
      <c r="Y39" s="4"/>
    </row>
    <row r="40" spans="1:25" ht="13.5" thickTop="1">
      <c r="A40" s="6"/>
      <c r="B40" s="6"/>
      <c r="C40" s="137"/>
      <c r="D40" s="60"/>
      <c r="E40" s="6"/>
      <c r="F40" s="60"/>
      <c r="G40" s="6"/>
      <c r="H40" s="60"/>
      <c r="I40" s="6"/>
      <c r="J40" s="60"/>
      <c r="K40" s="6"/>
      <c r="L40" s="6"/>
      <c r="M40" s="6"/>
      <c r="Q40" s="34"/>
      <c r="R40" s="30"/>
      <c r="S40" s="6"/>
      <c r="T40" s="6"/>
      <c r="V40" s="23"/>
      <c r="W40" s="6"/>
      <c r="Y40" s="4"/>
    </row>
    <row r="41" spans="1:25">
      <c r="A41" s="6"/>
      <c r="B41" s="6"/>
      <c r="C41" s="6"/>
      <c r="D41" s="60"/>
      <c r="E41" s="6"/>
      <c r="F41" s="60"/>
      <c r="G41" s="6"/>
      <c r="H41" s="60"/>
      <c r="I41" s="6"/>
      <c r="J41" s="60"/>
      <c r="K41" s="6"/>
      <c r="L41" s="6"/>
      <c r="M41" s="6"/>
      <c r="Q41" s="34"/>
      <c r="R41" s="30"/>
      <c r="S41" s="6"/>
      <c r="T41" s="6"/>
      <c r="V41" s="23"/>
      <c r="W41" s="6"/>
      <c r="Y41" s="4"/>
    </row>
    <row r="42" spans="1:25" s="6" customFormat="1">
      <c r="A42" s="27" t="s">
        <v>80</v>
      </c>
      <c r="B42" s="27"/>
      <c r="C42" s="27"/>
      <c r="D42" s="62"/>
      <c r="E42" s="27"/>
      <c r="F42" s="62"/>
      <c r="G42" s="27"/>
      <c r="H42" s="62"/>
      <c r="I42" s="27"/>
      <c r="J42" s="62"/>
      <c r="K42" s="27"/>
      <c r="L42" s="27"/>
      <c r="M42" s="27"/>
      <c r="Q42" s="34"/>
      <c r="R42" s="27"/>
      <c r="S42" s="27"/>
      <c r="T42" s="27"/>
    </row>
    <row r="43" spans="1:25" s="34" customFormat="1">
      <c r="A43" s="34" t="s">
        <v>148</v>
      </c>
      <c r="D43" s="63"/>
      <c r="F43" s="63"/>
      <c r="H43" s="63"/>
      <c r="J43" s="63">
        <f>391.6/40</f>
        <v>9.7900000000000009</v>
      </c>
      <c r="N43" s="34">
        <v>10.74</v>
      </c>
      <c r="P43" s="34">
        <v>10.74</v>
      </c>
      <c r="R43" s="37">
        <f>(1227*1.05)/120</f>
        <v>10.736250000000002</v>
      </c>
    </row>
    <row r="44" spans="1:25" s="34" customFormat="1">
      <c r="A44" s="34" t="s">
        <v>82</v>
      </c>
      <c r="D44" s="63"/>
      <c r="F44" s="63"/>
      <c r="H44" s="63"/>
      <c r="J44" s="63">
        <v>4</v>
      </c>
      <c r="N44" s="34">
        <v>0</v>
      </c>
      <c r="P44" s="34">
        <v>25</v>
      </c>
      <c r="R44" s="38">
        <v>68</v>
      </c>
      <c r="V44" s="35"/>
    </row>
    <row r="45" spans="1:25" s="34" customFormat="1">
      <c r="A45" s="36" t="s">
        <v>83</v>
      </c>
      <c r="D45" s="63"/>
      <c r="F45" s="63"/>
      <c r="H45" s="63"/>
      <c r="J45" s="63">
        <f>J43*J44</f>
        <v>39.160000000000004</v>
      </c>
      <c r="K45" s="34" t="s">
        <v>155</v>
      </c>
      <c r="N45" s="34">
        <f>N43*N44</f>
        <v>0</v>
      </c>
      <c r="O45" s="38"/>
      <c r="P45" s="38">
        <f>P43*P44</f>
        <v>268.5</v>
      </c>
      <c r="R45" s="38">
        <f>R43*R44</f>
        <v>730.06500000000017</v>
      </c>
    </row>
    <row r="46" spans="1:25" s="6" customFormat="1">
      <c r="D46" s="60"/>
      <c r="F46" s="60"/>
      <c r="H46" s="60"/>
      <c r="J46" s="60"/>
      <c r="Q46" s="34"/>
    </row>
    <row r="47" spans="1:25" s="6" customFormat="1">
      <c r="A47" s="34" t="s">
        <v>149</v>
      </c>
      <c r="D47" s="60"/>
      <c r="F47" s="60"/>
      <c r="H47" s="60"/>
      <c r="J47" s="60">
        <f>104.08/8</f>
        <v>13.01</v>
      </c>
      <c r="Q47" s="34"/>
    </row>
    <row r="48" spans="1:25" s="6" customFormat="1">
      <c r="A48" s="34" t="s">
        <v>82</v>
      </c>
      <c r="D48" s="60"/>
      <c r="F48" s="60"/>
      <c r="H48" s="60"/>
      <c r="J48" s="60"/>
      <c r="Q48" s="34"/>
    </row>
    <row r="49" spans="1:20" s="6" customFormat="1">
      <c r="A49" s="36" t="s">
        <v>83</v>
      </c>
      <c r="D49" s="60"/>
      <c r="F49" s="60"/>
      <c r="H49" s="60"/>
      <c r="J49" s="60"/>
      <c r="Q49" s="34"/>
    </row>
    <row r="50" spans="1:20" s="6" customFormat="1">
      <c r="A50" s="39" t="s">
        <v>84</v>
      </c>
      <c r="D50" s="60"/>
      <c r="F50" s="60"/>
      <c r="H50" s="60"/>
      <c r="J50" s="60"/>
      <c r="Q50" s="34"/>
    </row>
    <row r="51" spans="1:20">
      <c r="A51" s="6"/>
      <c r="B51" s="6"/>
      <c r="C51" s="6"/>
      <c r="D51" s="60"/>
      <c r="E51" s="6"/>
      <c r="F51" s="60"/>
      <c r="G51" s="6"/>
      <c r="H51" s="60"/>
      <c r="I51" s="6"/>
      <c r="J51" s="60"/>
      <c r="K51" s="6"/>
      <c r="L51" s="6"/>
      <c r="M51" s="6"/>
      <c r="N51" s="6"/>
      <c r="O51" s="6"/>
      <c r="P51" s="6"/>
      <c r="Q51" s="34"/>
      <c r="R51" s="6"/>
      <c r="S51" s="6"/>
      <c r="T51" s="6"/>
    </row>
    <row r="52" spans="1:20">
      <c r="A52" s="6"/>
      <c r="B52" s="6"/>
      <c r="C52" s="6"/>
      <c r="D52" s="60"/>
      <c r="E52" s="6"/>
      <c r="F52" s="60"/>
      <c r="G52" s="6"/>
      <c r="H52" s="60"/>
      <c r="I52" s="6"/>
      <c r="J52" s="60"/>
      <c r="K52" s="6"/>
      <c r="L52" s="6"/>
      <c r="M52" s="6"/>
      <c r="N52" s="6"/>
      <c r="O52" s="6"/>
      <c r="P52" s="6"/>
      <c r="Q52" s="34"/>
      <c r="R52" s="6"/>
      <c r="S52" s="6"/>
      <c r="T52" s="6"/>
    </row>
    <row r="53" spans="1:20">
      <c r="A53" s="6"/>
      <c r="B53" s="6"/>
      <c r="C53" s="6"/>
      <c r="D53" s="60"/>
      <c r="E53" s="6"/>
      <c r="F53" s="60"/>
      <c r="G53" s="6"/>
      <c r="H53" s="60"/>
      <c r="I53" s="6"/>
      <c r="J53" s="60"/>
      <c r="K53" s="6"/>
      <c r="L53" s="6"/>
      <c r="M53" s="6"/>
      <c r="N53" s="6"/>
      <c r="O53" s="6"/>
      <c r="P53" s="6"/>
      <c r="Q53" s="34"/>
      <c r="R53" s="6"/>
      <c r="S53" s="6"/>
      <c r="T53" s="6"/>
    </row>
    <row r="54" spans="1:20">
      <c r="A54" s="27"/>
      <c r="B54" s="27"/>
      <c r="C54" s="27"/>
      <c r="D54" s="62"/>
      <c r="E54" s="27"/>
      <c r="F54" s="62"/>
      <c r="G54" s="27"/>
      <c r="H54" s="62"/>
      <c r="I54" s="27"/>
      <c r="J54" s="62"/>
      <c r="K54" s="27"/>
      <c r="L54" s="27"/>
      <c r="M54" s="27"/>
      <c r="N54" s="27"/>
      <c r="O54" s="27"/>
      <c r="P54" s="27"/>
      <c r="Q54" s="34"/>
      <c r="R54" s="27"/>
      <c r="S54" s="27"/>
      <c r="T54" s="6"/>
    </row>
    <row r="55" spans="1:20">
      <c r="A55" s="6"/>
      <c r="B55" s="6"/>
      <c r="C55" s="6"/>
      <c r="D55" s="60"/>
      <c r="E55" s="6"/>
      <c r="F55" s="60"/>
      <c r="G55" s="6"/>
      <c r="H55" s="60"/>
      <c r="I55" s="6"/>
      <c r="J55" s="60"/>
      <c r="K55" s="6"/>
      <c r="L55" s="6"/>
      <c r="M55" s="6"/>
      <c r="N55" s="6"/>
      <c r="O55" s="6"/>
      <c r="P55" s="6"/>
      <c r="Q55" s="34"/>
      <c r="R55" s="6"/>
      <c r="S55" s="6"/>
      <c r="T55" s="28"/>
    </row>
    <row r="56" spans="1:20">
      <c r="A56" s="6"/>
      <c r="B56" s="6"/>
      <c r="C56" s="6"/>
      <c r="D56" s="60"/>
      <c r="E56" s="6"/>
      <c r="F56" s="60"/>
      <c r="G56" s="6"/>
      <c r="H56" s="60"/>
      <c r="I56" s="6"/>
      <c r="J56" s="60"/>
      <c r="K56" s="6"/>
      <c r="L56" s="6"/>
      <c r="M56" s="6"/>
      <c r="N56" s="6"/>
      <c r="O56" s="6"/>
      <c r="P56" s="6"/>
      <c r="Q56" s="34"/>
      <c r="R56" s="6"/>
      <c r="S56" s="6"/>
      <c r="T56" s="6"/>
    </row>
    <row r="57" spans="1:20">
      <c r="A57" t="s">
        <v>286</v>
      </c>
      <c r="B57" s="55"/>
      <c r="C57" s="6"/>
      <c r="D57" s="60"/>
      <c r="E57" s="6"/>
      <c r="F57" s="60"/>
      <c r="G57" s="6"/>
      <c r="H57" s="60"/>
      <c r="I57" s="6"/>
      <c r="J57" s="60"/>
      <c r="K57" s="6"/>
      <c r="L57" s="6"/>
      <c r="M57" s="6"/>
      <c r="N57" s="6"/>
      <c r="O57" s="6"/>
      <c r="P57" s="6"/>
      <c r="Q57" s="34"/>
      <c r="R57" s="6"/>
      <c r="S57" s="6"/>
      <c r="T57" s="6"/>
    </row>
    <row r="58" spans="1:20">
      <c r="A58" s="11" t="s">
        <v>287</v>
      </c>
      <c r="B58" s="55"/>
      <c r="C58" s="29"/>
      <c r="D58" s="64"/>
      <c r="E58" s="29"/>
      <c r="F58" s="64"/>
      <c r="G58" s="29"/>
      <c r="H58" s="64"/>
      <c r="I58" s="29"/>
      <c r="J58" s="64"/>
      <c r="K58" s="29"/>
      <c r="L58" s="29"/>
      <c r="M58" s="29"/>
      <c r="N58" s="29"/>
      <c r="O58" s="29"/>
      <c r="P58" s="29"/>
      <c r="Q58" s="50"/>
      <c r="R58" s="29"/>
      <c r="S58" s="29"/>
      <c r="T58" s="6"/>
    </row>
    <row r="59" spans="1:20">
      <c r="B59" s="55"/>
      <c r="C59" s="6"/>
      <c r="D59" s="60"/>
      <c r="E59" s="6"/>
      <c r="F59" s="60"/>
      <c r="G59" s="6"/>
      <c r="H59" s="60"/>
      <c r="I59" s="6"/>
      <c r="J59" s="60"/>
      <c r="K59" s="6"/>
      <c r="L59" s="6"/>
      <c r="M59" s="6"/>
      <c r="N59" s="6"/>
      <c r="O59" s="6"/>
      <c r="P59" s="6"/>
      <c r="Q59" s="34"/>
      <c r="R59" s="6"/>
      <c r="S59" s="6"/>
      <c r="T59" s="6"/>
    </row>
    <row r="60" spans="1:20">
      <c r="A60" s="109" t="s">
        <v>15</v>
      </c>
      <c r="B60" s="110">
        <v>82032.5</v>
      </c>
      <c r="C60" s="6"/>
      <c r="D60" s="60"/>
      <c r="E60" s="6"/>
      <c r="F60" s="60"/>
      <c r="G60" s="6"/>
      <c r="H60" s="60"/>
      <c r="I60" s="6"/>
      <c r="J60" s="60"/>
      <c r="K60" s="6"/>
      <c r="L60" s="6"/>
      <c r="M60" s="6"/>
      <c r="N60" s="6"/>
      <c r="O60" s="6"/>
      <c r="P60" s="6"/>
      <c r="Q60" s="34"/>
      <c r="R60" s="6"/>
      <c r="S60" s="6"/>
      <c r="T60" s="6"/>
    </row>
    <row r="61" spans="1:20">
      <c r="A61" s="111"/>
      <c r="B61" s="110"/>
      <c r="C61" s="6"/>
      <c r="D61" s="60"/>
      <c r="E61" s="6"/>
      <c r="F61" s="60"/>
      <c r="G61" s="6"/>
      <c r="H61" s="60"/>
      <c r="I61" s="6"/>
      <c r="J61" s="60"/>
      <c r="K61" s="6"/>
      <c r="L61" s="6"/>
      <c r="M61" s="6"/>
      <c r="N61" s="6"/>
      <c r="O61" s="6"/>
      <c r="P61" s="6"/>
      <c r="Q61" s="34"/>
      <c r="R61" s="6"/>
      <c r="S61" s="6"/>
      <c r="T61" s="6"/>
    </row>
    <row r="62" spans="1:20">
      <c r="A62" s="112" t="s">
        <v>273</v>
      </c>
      <c r="B62" s="110">
        <v>180</v>
      </c>
    </row>
    <row r="63" spans="1:20">
      <c r="A63" s="112" t="s">
        <v>274</v>
      </c>
      <c r="B63" s="110">
        <v>200</v>
      </c>
    </row>
    <row r="64" spans="1:20">
      <c r="A64" s="112" t="s">
        <v>288</v>
      </c>
      <c r="B64" s="110">
        <v>12310</v>
      </c>
    </row>
    <row r="65" spans="1:2">
      <c r="A65" s="112" t="s">
        <v>277</v>
      </c>
      <c r="B65" s="110">
        <v>16682.5</v>
      </c>
    </row>
    <row r="66" spans="1:2">
      <c r="A66" s="112" t="s">
        <v>278</v>
      </c>
      <c r="B66" s="110">
        <v>304.43</v>
      </c>
    </row>
    <row r="67" spans="1:2">
      <c r="A67" s="112" t="s">
        <v>277</v>
      </c>
      <c r="B67" s="110">
        <v>13692.5</v>
      </c>
    </row>
    <row r="68" spans="1:2">
      <c r="A68" s="112" t="s">
        <v>281</v>
      </c>
      <c r="B68" s="110">
        <v>57.13</v>
      </c>
    </row>
    <row r="69" spans="1:2">
      <c r="A69" s="112" t="s">
        <v>282</v>
      </c>
      <c r="B69" s="110">
        <v>85.5</v>
      </c>
    </row>
    <row r="70" spans="1:2">
      <c r="A70" s="112" t="s">
        <v>283</v>
      </c>
      <c r="B70" s="110">
        <v>564.30999999999995</v>
      </c>
    </row>
    <row r="71" spans="1:2">
      <c r="A71" s="112" t="s">
        <v>284</v>
      </c>
      <c r="B71" s="110">
        <f>96.29+132.98</f>
        <v>229.26999999999998</v>
      </c>
    </row>
    <row r="72" spans="1:2" ht="16.5">
      <c r="A72" s="112" t="s">
        <v>71</v>
      </c>
      <c r="B72" s="113">
        <v>2126.25</v>
      </c>
    </row>
    <row r="73" spans="1:2" ht="16.5">
      <c r="A73" s="112" t="s">
        <v>289</v>
      </c>
      <c r="B73" s="113">
        <f>SUM(B62:B72)</f>
        <v>46431.889999999992</v>
      </c>
    </row>
    <row r="74" spans="1:2" ht="16.5">
      <c r="A74" s="112" t="s">
        <v>290</v>
      </c>
      <c r="B74" s="114">
        <f>+B60-B73</f>
        <v>35600.610000000008</v>
      </c>
    </row>
    <row r="75" spans="1:2">
      <c r="A75" s="111"/>
      <c r="B75" s="110"/>
    </row>
  </sheetData>
  <phoneticPr fontId="0" type="noConversion"/>
  <pageMargins left="0.75" right="0.75" top="0.56000000000000005" bottom="0.26" header="0.28999999999999998" footer="0.26"/>
  <pageSetup scale="58" orientation="landscape" horizontalDpi="300" verticalDpi="300" r:id="rId1"/>
  <headerFooter alignWithMargins="0">
    <oddHeader>&amp;C&amp;"Arial,Bold"&amp;12TREE SALES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topLeftCell="A4" workbookViewId="0">
      <selection activeCell="H27" sqref="H27"/>
    </sheetView>
  </sheetViews>
  <sheetFormatPr defaultRowHeight="12.75"/>
  <cols>
    <col min="1" max="1" width="18.5703125" bestFit="1" customWidth="1"/>
    <col min="2" max="6" width="10.28515625" bestFit="1" customWidth="1"/>
    <col min="7" max="10" width="10.28515625" style="8" bestFit="1" customWidth="1"/>
    <col min="11" max="11" width="10.28515625" bestFit="1" customWidth="1"/>
  </cols>
  <sheetData>
    <row r="1" spans="1:11">
      <c r="A1" t="s">
        <v>75</v>
      </c>
    </row>
    <row r="3" spans="1:11" s="1" customFormat="1">
      <c r="B3" s="1">
        <v>2004</v>
      </c>
      <c r="C3" s="1">
        <v>2005</v>
      </c>
      <c r="D3" s="1">
        <v>2006</v>
      </c>
      <c r="E3" s="1">
        <v>2007</v>
      </c>
      <c r="F3" s="1">
        <v>2008</v>
      </c>
      <c r="G3" s="49">
        <v>2009</v>
      </c>
      <c r="H3" s="49">
        <v>2010</v>
      </c>
      <c r="I3" s="49">
        <v>2011</v>
      </c>
      <c r="J3" s="49">
        <v>2012</v>
      </c>
      <c r="K3" s="1">
        <v>2013</v>
      </c>
    </row>
    <row r="5" spans="1:11">
      <c r="A5" t="s">
        <v>76</v>
      </c>
      <c r="B5" s="15">
        <f>'Tree Sale'!T12</f>
        <v>33050</v>
      </c>
      <c r="C5" s="15">
        <v>36600.5</v>
      </c>
      <c r="D5" s="15">
        <f>'Tree Sale'!P12</f>
        <v>39847.5</v>
      </c>
      <c r="E5" s="15">
        <v>41700</v>
      </c>
      <c r="F5" s="15">
        <f>'Tree Sale'!L12</f>
        <v>35992.5</v>
      </c>
      <c r="G5" s="8">
        <f>'Tree Sale'!J12</f>
        <v>42712.5</v>
      </c>
      <c r="H5" s="56">
        <v>38970</v>
      </c>
      <c r="I5" s="56">
        <v>37727</v>
      </c>
      <c r="J5" s="56">
        <f>'Tree Sale'!D12-1000</f>
        <v>42524.92</v>
      </c>
      <c r="K5" s="132">
        <f>+'Tree Sale'!C12</f>
        <v>20035</v>
      </c>
    </row>
    <row r="6" spans="1:11">
      <c r="A6" t="s">
        <v>70</v>
      </c>
      <c r="B6" s="15">
        <f>'Tree Sale'!T16</f>
        <v>2719.5</v>
      </c>
      <c r="C6" s="15">
        <v>2330.5</v>
      </c>
      <c r="D6" s="15">
        <v>2294.8000000000002</v>
      </c>
      <c r="E6" s="15">
        <v>3447.5</v>
      </c>
      <c r="F6">
        <f>'Tree Sale'!L16</f>
        <v>2825</v>
      </c>
      <c r="G6" s="8">
        <v>152.58000000000001</v>
      </c>
      <c r="H6" s="56"/>
      <c r="I6" s="56"/>
      <c r="J6" s="56"/>
    </row>
    <row r="7" spans="1:11">
      <c r="A7" t="s">
        <v>90</v>
      </c>
      <c r="B7" s="15"/>
      <c r="C7" s="15"/>
      <c r="D7" s="15">
        <v>61.92</v>
      </c>
      <c r="E7" s="15">
        <v>73.38</v>
      </c>
      <c r="F7">
        <v>54.96</v>
      </c>
      <c r="H7" s="56">
        <f>48</f>
        <v>48</v>
      </c>
      <c r="I7" s="56"/>
      <c r="J7" s="56"/>
    </row>
    <row r="8" spans="1:11">
      <c r="A8" t="s">
        <v>77</v>
      </c>
      <c r="B8" s="13"/>
      <c r="C8" s="22">
        <v>1227</v>
      </c>
      <c r="D8" s="22"/>
      <c r="E8" s="22"/>
      <c r="F8" s="22">
        <f>'Tree Sale'!L22</f>
        <v>238.4</v>
      </c>
      <c r="G8" s="22">
        <f>'Tree Sale'!J22</f>
        <v>495.68</v>
      </c>
      <c r="H8" s="65">
        <f>'Tree Sale'!H22</f>
        <v>831</v>
      </c>
      <c r="I8" s="65"/>
      <c r="J8" s="65"/>
      <c r="K8" s="13"/>
    </row>
    <row r="9" spans="1:11">
      <c r="B9" s="15">
        <f t="shared" ref="B9:G9" si="0">SUM(B5:B8)</f>
        <v>35769.5</v>
      </c>
      <c r="C9" s="15">
        <f t="shared" si="0"/>
        <v>40158</v>
      </c>
      <c r="D9" s="15">
        <f t="shared" si="0"/>
        <v>42204.22</v>
      </c>
      <c r="E9" s="15">
        <f t="shared" si="0"/>
        <v>45220.88</v>
      </c>
      <c r="F9" s="15">
        <f t="shared" si="0"/>
        <v>39110.86</v>
      </c>
      <c r="G9" s="15">
        <f t="shared" si="0"/>
        <v>43360.76</v>
      </c>
      <c r="H9" s="55">
        <f>SUM(H5:H8)</f>
        <v>39849</v>
      </c>
      <c r="I9" s="55">
        <f>SUM(I5:I8)</f>
        <v>37727</v>
      </c>
      <c r="J9" s="55">
        <f>SUM(J5:J8)</f>
        <v>42524.92</v>
      </c>
      <c r="K9" s="136">
        <f>SUM(K5:K8)</f>
        <v>20035</v>
      </c>
    </row>
    <row r="10" spans="1:11">
      <c r="B10" s="33" t="s">
        <v>78</v>
      </c>
      <c r="C10" s="33" t="s">
        <v>78</v>
      </c>
      <c r="D10" s="33" t="s">
        <v>78</v>
      </c>
      <c r="E10" s="33" t="s">
        <v>78</v>
      </c>
      <c r="F10" s="33" t="str">
        <f t="shared" ref="F10:K10" si="1">E10</f>
        <v>x5%</v>
      </c>
      <c r="G10" s="33" t="str">
        <f t="shared" si="1"/>
        <v>x5%</v>
      </c>
      <c r="H10" s="33" t="str">
        <f t="shared" si="1"/>
        <v>x5%</v>
      </c>
      <c r="I10" s="33" t="str">
        <f t="shared" si="1"/>
        <v>x5%</v>
      </c>
      <c r="J10" s="33" t="str">
        <f t="shared" si="1"/>
        <v>x5%</v>
      </c>
      <c r="K10" s="33" t="str">
        <f t="shared" si="1"/>
        <v>x5%</v>
      </c>
    </row>
    <row r="11" spans="1:11">
      <c r="B11" s="15">
        <f t="shared" ref="B11:G11" si="2">B9*0.05</f>
        <v>1788.4750000000001</v>
      </c>
      <c r="C11" s="15">
        <f t="shared" si="2"/>
        <v>2007.9</v>
      </c>
      <c r="D11" s="15">
        <f t="shared" si="2"/>
        <v>2110.2110000000002</v>
      </c>
      <c r="E11" s="15">
        <f t="shared" si="2"/>
        <v>2261.0439999999999</v>
      </c>
      <c r="F11" s="15">
        <f t="shared" si="2"/>
        <v>1955.5430000000001</v>
      </c>
      <c r="G11" s="15">
        <f t="shared" si="2"/>
        <v>2168.038</v>
      </c>
      <c r="H11" s="15">
        <f>H9*0.05</f>
        <v>1992.45</v>
      </c>
      <c r="I11" s="15">
        <f>I9*0.05</f>
        <v>1886.3500000000001</v>
      </c>
      <c r="J11" s="15">
        <f>J9*0.05</f>
        <v>2126.2460000000001</v>
      </c>
      <c r="K11" s="132">
        <f>K9*0.05</f>
        <v>1001.75</v>
      </c>
    </row>
    <row r="13" spans="1:11">
      <c r="A13" t="s">
        <v>99</v>
      </c>
      <c r="B13" s="15"/>
      <c r="E13">
        <v>2183.4899999999998</v>
      </c>
    </row>
    <row r="14" spans="1:11">
      <c r="A14" t="s">
        <v>100</v>
      </c>
      <c r="E14" s="15">
        <f>E11-E13</f>
        <v>77.554000000000087</v>
      </c>
      <c r="F14" s="15"/>
    </row>
    <row r="15" spans="1:11">
      <c r="B15" s="15"/>
      <c r="C15" s="15"/>
    </row>
    <row r="16" spans="1:11">
      <c r="A16" t="s">
        <v>101</v>
      </c>
      <c r="E16">
        <v>1551</v>
      </c>
    </row>
    <row r="17" spans="2:6">
      <c r="C17" s="15"/>
      <c r="E17" s="33" t="s">
        <v>78</v>
      </c>
    </row>
    <row r="18" spans="2:6">
      <c r="E18">
        <f>E16*0.05</f>
        <v>77.550000000000011</v>
      </c>
    </row>
    <row r="19" spans="2:6">
      <c r="F19" s="15">
        <f>F9+E16</f>
        <v>40661.86</v>
      </c>
    </row>
    <row r="20" spans="2:6">
      <c r="B20" s="15"/>
      <c r="F20" s="33" t="s">
        <v>78</v>
      </c>
    </row>
    <row r="21" spans="2:6">
      <c r="B21" s="15"/>
      <c r="F21" s="51">
        <f>F19*0.05</f>
        <v>2033.0930000000001</v>
      </c>
    </row>
    <row r="22" spans="2:6">
      <c r="B22" s="15"/>
    </row>
    <row r="24" spans="2:6">
      <c r="C24" s="15"/>
    </row>
    <row r="25" spans="2:6">
      <c r="C25" s="15"/>
    </row>
    <row r="26" spans="2:6">
      <c r="C26" s="15"/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Budget</vt:lpstr>
      <vt:lpstr>Bal Sheet</vt:lpstr>
      <vt:lpstr>IS</vt:lpstr>
      <vt:lpstr>Cash Roll</vt:lpstr>
      <vt:lpstr>bank rec Oct</vt:lpstr>
      <vt:lpstr>Deposits</vt:lpstr>
      <vt:lpstr>Disbursements</vt:lpstr>
      <vt:lpstr>Tree Sale</vt:lpstr>
      <vt:lpstr>Use Tax</vt:lpstr>
      <vt:lpstr>Vouchers</vt:lpstr>
      <vt:lpstr>Sch Fund</vt:lpstr>
      <vt:lpstr>Bonds accd int</vt:lpstr>
      <vt:lpstr>Bonds-cost</vt:lpstr>
      <vt:lpstr>Sheet1</vt:lpstr>
      <vt:lpstr>'Bal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Lynn Martelle</dc:creator>
  <cp:lastModifiedBy>sirving</cp:lastModifiedBy>
  <cp:lastPrinted>2013-10-09T21:36:02Z</cp:lastPrinted>
  <dcterms:created xsi:type="dcterms:W3CDTF">2003-06-17T02:13:36Z</dcterms:created>
  <dcterms:modified xsi:type="dcterms:W3CDTF">2013-12-05T01:26:51Z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H:\NHawes\Rotary treasurer\June 30, 2009\reports.xls</vt:lpwstr>
  </property>
</Properties>
</file>